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60" windowWidth="28800" windowHeight="12165" activeTab="3"/>
  </bookViews>
  <sheets>
    <sheet name="Bac  " sheetId="15" r:id="rId1"/>
    <sheet name="ԱՄՓՈՓ  " sheetId="12" r:id="rId2"/>
    <sheet name="1" sheetId="6" r:id="rId3"/>
    <sheet name="ծավալ" sheetId="33" r:id="rId4"/>
    <sheet name="ծավալ рус." sheetId="34" state="hidden" r:id="rId5"/>
  </sheets>
  <externalReferences>
    <externalReference r:id="rId6"/>
  </externalReferences>
  <definedNames>
    <definedName name="AAA" localSheetId="0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dfjgjkbkl5653" localSheetId="4">#REF!</definedName>
    <definedName name="dfjgjkbkl5653">#REF!</definedName>
    <definedName name="dfkgherhiopbgtro" localSheetId="4">#REF!</definedName>
    <definedName name="dfkgherhiopbgtro">#REF!</definedName>
    <definedName name="f0" localSheetId="0">#REF!</definedName>
    <definedName name="f0" localSheetId="1">#REF!</definedName>
    <definedName name="f0" localSheetId="3">#REF!</definedName>
    <definedName name="f0" localSheetId="4">#REF!</definedName>
    <definedName name="f0">#REF!</definedName>
    <definedName name="f00" localSheetId="0">#REF!</definedName>
    <definedName name="f00" localSheetId="1">#REF!</definedName>
    <definedName name="f00" localSheetId="3">#REF!</definedName>
    <definedName name="f00" localSheetId="4">#REF!</definedName>
    <definedName name="f00">#REF!</definedName>
    <definedName name="jhfjuyf6654646" localSheetId="4">#REF!</definedName>
    <definedName name="jhfjuyf6654646">#REF!</definedName>
    <definedName name="jhsdhfj136" localSheetId="4">#REF!</definedName>
    <definedName name="jhsdhfj136">#REF!</definedName>
    <definedName name="k" localSheetId="4">#REF!</definedName>
    <definedName name="k">#REF!</definedName>
    <definedName name="khkjkklk445" localSheetId="4">#REF!</definedName>
    <definedName name="khkjkklk445">#REF!</definedName>
    <definedName name="kkgfdikg122" localSheetId="4">#REF!</definedName>
    <definedName name="kkgfdikg122">#REF!</definedName>
    <definedName name="LN" localSheetId="4">#REF!</definedName>
    <definedName name="LN">#REF!</definedName>
    <definedName name="LNfibviobroe" localSheetId="4">#REF!</definedName>
    <definedName name="LNfibviobroe">#REF!</definedName>
    <definedName name="mexan" localSheetId="0">#REF!</definedName>
    <definedName name="mexan" localSheetId="1">#REF!</definedName>
    <definedName name="mexan" localSheetId="3">#REF!</definedName>
    <definedName name="mexan" localSheetId="4">#REF!</definedName>
    <definedName name="mexan">#REF!</definedName>
    <definedName name="mmm" localSheetId="0">#REF!</definedName>
    <definedName name="mmm" localSheetId="1">#REF!</definedName>
    <definedName name="mmm" localSheetId="3">#REF!</definedName>
    <definedName name="mmm" localSheetId="4">#REF!</definedName>
    <definedName name="mmm">#REF!</definedName>
    <definedName name="nyu" localSheetId="4">#REF!</definedName>
    <definedName name="nyu">#REF!</definedName>
    <definedName name="sjbcjkcdlajskl" localSheetId="4">#REF!</definedName>
    <definedName name="sjbcjkcdlajskl">#REF!</definedName>
    <definedName name="sjhiglkkf2346" localSheetId="4">#REF!</definedName>
    <definedName name="sjhiglkkf2346">#REF!</definedName>
    <definedName name="sssss" localSheetId="4">#REF!</definedName>
    <definedName name="sssss">#REF!</definedName>
    <definedName name="wj.vvsrtjetykuk" localSheetId="4">#REF!</definedName>
    <definedName name="wj.vvsrtjetykuk">#REF!</definedName>
    <definedName name="ааа" localSheetId="0">#REF!</definedName>
    <definedName name="ааа" localSheetId="1">#REF!</definedName>
    <definedName name="ааа" localSheetId="3">#REF!</definedName>
    <definedName name="ааа" localSheetId="4">#REF!</definedName>
    <definedName name="ааа">#REF!</definedName>
    <definedName name="АЕР" localSheetId="0">#REF!</definedName>
    <definedName name="АЕР" localSheetId="1">#REF!</definedName>
    <definedName name="АЕР" localSheetId="3">#REF!</definedName>
    <definedName name="АЕР" localSheetId="4">#REF!</definedName>
    <definedName name="АЕР">#REF!</definedName>
    <definedName name="гфжжжж" localSheetId="4">#REF!</definedName>
    <definedName name="гфжжжж">#REF!</definedName>
    <definedName name="дкыуыук" localSheetId="4">#REF!</definedName>
    <definedName name="дкыуыук">#REF!</definedName>
    <definedName name="дфдсн" localSheetId="4">#REF!</definedName>
    <definedName name="дфдсн">#REF!</definedName>
    <definedName name="_xlnm.Print_Titles" localSheetId="2">'1'!$20:$20</definedName>
    <definedName name="_xlnm.Print_Titles" localSheetId="1">'ԱՄՓՈՓ  '!$14:$16</definedName>
    <definedName name="_xlnm.Print_Titles" localSheetId="3">ծավալ!$20:$20</definedName>
    <definedName name="_xlnm.Print_Titles" localSheetId="4">'ծավալ рус.'!$20:$20</definedName>
    <definedName name="кжгхоырыр45" localSheetId="4">#REF!</definedName>
    <definedName name="кжгхоырыр45">#REF!</definedName>
    <definedName name="лвхйиоеррхбгио" localSheetId="4">#REF!</definedName>
    <definedName name="лвхйиоеррхбгио">#REF!</definedName>
    <definedName name="лн1" localSheetId="4">#REF!</definedName>
    <definedName name="лн1">#REF!</definedName>
    <definedName name="лн2" localSheetId="4">#REF!</definedName>
    <definedName name="лн2">#REF!</definedName>
    <definedName name="мм" localSheetId="0">#REF!</definedName>
    <definedName name="мм" localSheetId="1">#REF!</definedName>
    <definedName name="мм" localSheetId="3">#REF!</definedName>
    <definedName name="мм" localSheetId="4">#REF!</definedName>
    <definedName name="мм">#REF!</definedName>
    <definedName name="ммм" localSheetId="0">#REF!</definedName>
    <definedName name="ммм" localSheetId="1">#REF!</definedName>
    <definedName name="ммм" localSheetId="3">#REF!</definedName>
    <definedName name="ммм" localSheetId="4">#REF!</definedName>
    <definedName name="ммм">#REF!</definedName>
    <definedName name="_xlnm.Print_Area" localSheetId="2">'1'!$A$1:$U$302</definedName>
    <definedName name="_xlnm.Print_Area" localSheetId="0">'Bac  '!$A$1:$L$29</definedName>
    <definedName name="_xlnm.Print_Area" localSheetId="1">'ԱՄՓՈՓ  '!$A$1:$H$73</definedName>
    <definedName name="_xlnm.Print_Area" localSheetId="3">ծավալ!$A$1:$X$301</definedName>
    <definedName name="_xlnm.Print_Area" localSheetId="4">'ծավալ рус.'!$A$1:$X$305</definedName>
    <definedName name="склжхилсхснхе0111" localSheetId="4">#REF!</definedName>
    <definedName name="склжхилсхснхе0111">#REF!</definedName>
    <definedName name="сссс" localSheetId="4">#REF!</definedName>
    <definedName name="сссс">#REF!</definedName>
    <definedName name="тит76и67о7" localSheetId="4">#REF!</definedName>
    <definedName name="тит76и67о7">#REF!</definedName>
    <definedName name="флкбфл1225д" localSheetId="4">#REF!</definedName>
    <definedName name="флкбфл1225д">#REF!</definedName>
    <definedName name="фмнмцхйфйгк1" localSheetId="4">#REF!</definedName>
    <definedName name="фмнмцхйфйгк1">#REF!</definedName>
    <definedName name="хйфйдкфклгл" localSheetId="4">#REF!</definedName>
    <definedName name="хйфйдкфклгл">#REF!</definedName>
  </definedNames>
  <calcPr calcId="145621"/>
</workbook>
</file>

<file path=xl/calcChain.xml><?xml version="1.0" encoding="utf-8"?>
<calcChain xmlns="http://schemas.openxmlformats.org/spreadsheetml/2006/main">
  <c r="O292" i="33" l="1"/>
  <c r="R291" i="33"/>
  <c r="O290" i="33"/>
  <c r="R289" i="33"/>
  <c r="O288" i="33"/>
  <c r="R287" i="33"/>
  <c r="O286" i="33"/>
  <c r="O285" i="33"/>
  <c r="O284" i="33"/>
  <c r="O282" i="33"/>
  <c r="O281" i="33"/>
  <c r="O280" i="33"/>
  <c r="O279" i="33"/>
  <c r="O278" i="33"/>
  <c r="O276" i="33"/>
  <c r="O275" i="33"/>
  <c r="O274" i="33"/>
  <c r="O272" i="33"/>
  <c r="O270" i="33"/>
  <c r="O268" i="33"/>
  <c r="O266" i="33"/>
  <c r="P264" i="33"/>
  <c r="O264" i="33"/>
  <c r="P262" i="33"/>
  <c r="O262" i="33"/>
  <c r="O260" i="33"/>
  <c r="O259" i="33"/>
  <c r="I258" i="33"/>
  <c r="O257" i="33"/>
  <c r="O255" i="33"/>
  <c r="R254" i="33"/>
  <c r="O253" i="33"/>
  <c r="R252" i="33"/>
  <c r="O251" i="33"/>
  <c r="R250" i="33"/>
  <c r="N249" i="33"/>
  <c r="O249" i="33" s="1"/>
  <c r="O248" i="33"/>
  <c r="I247" i="33"/>
  <c r="F247" i="33"/>
  <c r="O246" i="33"/>
  <c r="O244" i="33"/>
  <c r="I243" i="33"/>
  <c r="F243" i="33"/>
  <c r="O242" i="33"/>
  <c r="O240" i="33"/>
  <c r="I237" i="33"/>
  <c r="I235" i="33"/>
  <c r="F235" i="33"/>
  <c r="I233" i="33"/>
  <c r="F233" i="33"/>
  <c r="I231" i="33"/>
  <c r="F231" i="33"/>
  <c r="P229" i="33"/>
  <c r="O229" i="33"/>
  <c r="N229" i="33"/>
  <c r="O228" i="33"/>
  <c r="I227" i="33"/>
  <c r="F227" i="33"/>
  <c r="O226" i="33"/>
  <c r="O225" i="33"/>
  <c r="I224" i="33"/>
  <c r="O223" i="33"/>
  <c r="R222" i="33"/>
  <c r="O221" i="33"/>
  <c r="R220" i="33"/>
  <c r="O219" i="33"/>
  <c r="O218" i="33"/>
  <c r="O217" i="33"/>
  <c r="O216" i="33"/>
  <c r="R213" i="33"/>
  <c r="E213" i="33"/>
  <c r="O214" i="33" s="1"/>
  <c r="F211" i="33"/>
  <c r="O210" i="33"/>
  <c r="O209" i="33"/>
  <c r="O208" i="33"/>
  <c r="F205" i="33"/>
  <c r="P203" i="33"/>
  <c r="I202" i="33"/>
  <c r="F202" i="33"/>
  <c r="E202" i="33"/>
  <c r="O203" i="33" s="1"/>
  <c r="I198" i="33"/>
  <c r="E198" i="33"/>
  <c r="O199" i="33" s="1"/>
  <c r="P197" i="33"/>
  <c r="N197" i="33"/>
  <c r="P196" i="33"/>
  <c r="O196" i="33"/>
  <c r="I195" i="33"/>
  <c r="F195" i="33"/>
  <c r="O194" i="33"/>
  <c r="O193" i="33"/>
  <c r="E187" i="33"/>
  <c r="O186" i="33"/>
  <c r="R185" i="33"/>
  <c r="O184" i="33"/>
  <c r="O183" i="33"/>
  <c r="O182" i="33"/>
  <c r="O179" i="33"/>
  <c r="F178" i="33"/>
  <c r="R177" i="33"/>
  <c r="U176" i="33" s="1"/>
  <c r="I176" i="33"/>
  <c r="F176" i="33"/>
  <c r="R175" i="33"/>
  <c r="U174" i="33" s="1"/>
  <c r="I174" i="33"/>
  <c r="F174" i="33"/>
  <c r="O173" i="33"/>
  <c r="P172" i="33"/>
  <c r="O172" i="33"/>
  <c r="O171" i="33"/>
  <c r="O169" i="33"/>
  <c r="P168" i="33"/>
  <c r="O168" i="33"/>
  <c r="O167" i="33"/>
  <c r="N165" i="33"/>
  <c r="I164" i="33"/>
  <c r="F164" i="33"/>
  <c r="O163" i="33"/>
  <c r="I162" i="33"/>
  <c r="F162" i="33"/>
  <c r="O161" i="33"/>
  <c r="R160" i="33"/>
  <c r="P159" i="33"/>
  <c r="O159" i="33"/>
  <c r="P157" i="33"/>
  <c r="O157" i="33"/>
  <c r="P155" i="33"/>
  <c r="O155" i="33"/>
  <c r="P153" i="33"/>
  <c r="O153" i="33"/>
  <c r="O151" i="33"/>
  <c r="O149" i="33"/>
  <c r="O146" i="33"/>
  <c r="I143" i="33"/>
  <c r="I141" i="33"/>
  <c r="O140" i="33"/>
  <c r="I139" i="33"/>
  <c r="O138" i="33"/>
  <c r="I135" i="33"/>
  <c r="F135" i="33"/>
  <c r="I133" i="33"/>
  <c r="F133" i="33"/>
  <c r="I127" i="33"/>
  <c r="E127" i="33"/>
  <c r="O129" i="33" s="1"/>
  <c r="P126" i="33"/>
  <c r="N126" i="33"/>
  <c r="O126" i="33" s="1"/>
  <c r="P125" i="33"/>
  <c r="O125" i="33"/>
  <c r="I124" i="33"/>
  <c r="F124" i="33"/>
  <c r="O123" i="33"/>
  <c r="I122" i="33"/>
  <c r="O121" i="33"/>
  <c r="O120" i="33"/>
  <c r="O119" i="33"/>
  <c r="I115" i="33"/>
  <c r="E115" i="33"/>
  <c r="O117" i="33" s="1"/>
  <c r="P114" i="33"/>
  <c r="N114" i="33"/>
  <c r="O114" i="33" s="1"/>
  <c r="P113" i="33"/>
  <c r="O113" i="33"/>
  <c r="I112" i="33"/>
  <c r="F112" i="33"/>
  <c r="N111" i="33"/>
  <c r="O111" i="33" s="1"/>
  <c r="O110" i="33"/>
  <c r="I109" i="33"/>
  <c r="F109" i="33"/>
  <c r="O108" i="33"/>
  <c r="I107" i="33"/>
  <c r="F107" i="33"/>
  <c r="O106" i="33"/>
  <c r="O104" i="33"/>
  <c r="O101" i="33"/>
  <c r="R100" i="33"/>
  <c r="P99" i="33"/>
  <c r="O99" i="33"/>
  <c r="R98" i="33"/>
  <c r="O97" i="33"/>
  <c r="R96" i="33"/>
  <c r="O95" i="33"/>
  <c r="O92" i="33"/>
  <c r="O91" i="33"/>
  <c r="I90" i="33"/>
  <c r="N89" i="33"/>
  <c r="O89" i="33" s="1"/>
  <c r="O88" i="33"/>
  <c r="I87" i="33"/>
  <c r="F87" i="33"/>
  <c r="N86" i="33"/>
  <c r="O86" i="33" s="1"/>
  <c r="F84" i="33"/>
  <c r="E84" i="33"/>
  <c r="O85" i="33" s="1"/>
  <c r="N83" i="33"/>
  <c r="O83" i="33" s="1"/>
  <c r="O81" i="33"/>
  <c r="O80" i="33"/>
  <c r="I79" i="33"/>
  <c r="O78" i="33"/>
  <c r="O77" i="33"/>
  <c r="O76" i="33"/>
  <c r="O75" i="33"/>
  <c r="N73" i="33"/>
  <c r="O73" i="33" s="1"/>
  <c r="I72" i="33"/>
  <c r="F72" i="33"/>
  <c r="N71" i="33"/>
  <c r="O71" i="33" s="1"/>
  <c r="P69" i="33"/>
  <c r="O69" i="33"/>
  <c r="O68" i="33"/>
  <c r="O67" i="33"/>
  <c r="I66" i="33"/>
  <c r="F66" i="33"/>
  <c r="I64" i="33"/>
  <c r="E64" i="33"/>
  <c r="O65" i="33" s="1"/>
  <c r="O63" i="33"/>
  <c r="O61" i="33"/>
  <c r="I60" i="33"/>
  <c r="E60" i="33"/>
  <c r="O59" i="33"/>
  <c r="R58" i="33"/>
  <c r="O57" i="33"/>
  <c r="R56" i="33"/>
  <c r="O55" i="33"/>
  <c r="O54" i="33"/>
  <c r="O53" i="33"/>
  <c r="O51" i="33"/>
  <c r="R50" i="33"/>
  <c r="O49" i="33"/>
  <c r="R48" i="33"/>
  <c r="O47" i="33"/>
  <c r="R46" i="33"/>
  <c r="O45" i="33"/>
  <c r="O44" i="33"/>
  <c r="O43" i="33"/>
  <c r="O42" i="33"/>
  <c r="O41" i="33"/>
  <c r="O39" i="33"/>
  <c r="R38" i="33"/>
  <c r="O37" i="33"/>
  <c r="R36" i="33"/>
  <c r="O35" i="33"/>
  <c r="O34" i="33"/>
  <c r="O33" i="33"/>
  <c r="O31" i="33"/>
  <c r="I27" i="33"/>
  <c r="I25" i="33"/>
  <c r="F25" i="33"/>
  <c r="I23" i="33"/>
  <c r="F23" i="33"/>
  <c r="A23" i="33"/>
  <c r="A25" i="33" s="1"/>
  <c r="A27" i="33" s="1"/>
  <c r="A30" i="33" s="1"/>
  <c r="A32" i="33" s="1"/>
  <c r="A38" i="33" s="1"/>
  <c r="A40" i="33" s="1"/>
  <c r="A46" i="33" s="1"/>
  <c r="A48" i="33" s="1"/>
  <c r="A50" i="33" s="1"/>
  <c r="A56" i="33" s="1"/>
  <c r="A58" i="33" s="1"/>
  <c r="A60" i="33" s="1"/>
  <c r="A62" i="33" s="1"/>
  <c r="A64" i="33" s="1"/>
  <c r="A66" i="33" s="1"/>
  <c r="A70" i="33" s="1"/>
  <c r="A72" i="33" s="1"/>
  <c r="A74" i="33" s="1"/>
  <c r="A79" i="33" s="1"/>
  <c r="A82" i="33" s="1"/>
  <c r="A84" i="33" s="1"/>
  <c r="A87" i="33" s="1"/>
  <c r="A90" i="33" s="1"/>
  <c r="O200" i="33" l="1"/>
  <c r="A36" i="33"/>
  <c r="A93" i="33"/>
  <c r="A96" i="33"/>
  <c r="A98" i="33" s="1"/>
  <c r="A100" i="33" s="1"/>
  <c r="A103" i="33" s="1"/>
  <c r="A105" i="33" s="1"/>
  <c r="A107" i="33" s="1"/>
  <c r="A109" i="33" s="1"/>
  <c r="A112" i="33" s="1"/>
  <c r="A115" i="33" s="1"/>
  <c r="A118" i="33" s="1"/>
  <c r="A122" i="33" s="1"/>
  <c r="A124" i="33" s="1"/>
  <c r="A127" i="33" s="1"/>
  <c r="A131" i="33" s="1"/>
  <c r="A133" i="33" s="1"/>
  <c r="A135" i="33" s="1"/>
  <c r="A137" i="33" s="1"/>
  <c r="A139" i="33" s="1"/>
  <c r="A141" i="33" s="1"/>
  <c r="A143" i="33" s="1"/>
  <c r="A145" i="33" s="1"/>
  <c r="A148" i="33" s="1"/>
  <c r="A150" i="33" s="1"/>
  <c r="A152" i="33" s="1"/>
  <c r="A154" i="33" s="1"/>
  <c r="A156" i="33" s="1"/>
  <c r="A158" i="33" s="1"/>
  <c r="A160" i="33" s="1"/>
  <c r="A162" i="33" s="1"/>
  <c r="A164" i="33" s="1"/>
  <c r="A166" i="33" s="1"/>
  <c r="A170" i="33" s="1"/>
  <c r="A174" i="33" s="1"/>
  <c r="A176" i="33" s="1"/>
  <c r="A178" i="33" s="1"/>
  <c r="A181" i="33" s="1"/>
  <c r="A185" i="33" s="1"/>
  <c r="A187" i="33" s="1"/>
  <c r="A192" i="33" s="1"/>
  <c r="A195" i="33" s="1"/>
  <c r="A198" i="33" s="1"/>
  <c r="A202" i="33" s="1"/>
  <c r="A205" i="33" s="1"/>
  <c r="A207" i="33" s="1"/>
  <c r="A211" i="33" s="1"/>
  <c r="A213" i="33" s="1"/>
  <c r="A215" i="33" s="1"/>
  <c r="A220" i="33" s="1"/>
  <c r="A222" i="33" s="1"/>
  <c r="A224" i="33" s="1"/>
  <c r="A227" i="33" s="1"/>
  <c r="A231" i="33" s="1"/>
  <c r="A233" i="33" s="1"/>
  <c r="A235" i="33" s="1"/>
  <c r="A237" i="33" s="1"/>
  <c r="A239" i="33" s="1"/>
  <c r="A241" i="33" s="1"/>
  <c r="A243" i="33" s="1"/>
  <c r="A245" i="33" s="1"/>
  <c r="A247" i="33" s="1"/>
  <c r="A250" i="33" s="1"/>
  <c r="A252" i="33" s="1"/>
  <c r="A254" i="33" s="1"/>
  <c r="A256" i="33" s="1"/>
  <c r="A258" i="33" s="1"/>
  <c r="A261" i="33" s="1"/>
  <c r="A263" i="33" s="1"/>
  <c r="A265" i="33" s="1"/>
  <c r="A267" i="33" s="1"/>
  <c r="A269" i="33" s="1"/>
  <c r="A271" i="33" s="1"/>
  <c r="A273" i="33" s="1"/>
  <c r="A277" i="33" s="1"/>
  <c r="A283" i="33" s="1"/>
  <c r="A287" i="33" s="1"/>
  <c r="A289" i="33" s="1"/>
  <c r="A291" i="33" s="1"/>
  <c r="O197" i="33"/>
  <c r="A52" i="33"/>
  <c r="O165" i="33"/>
  <c r="O188" i="33"/>
  <c r="O191" i="33"/>
  <c r="O189" i="33"/>
  <c r="O204" i="33"/>
  <c r="O116" i="33"/>
  <c r="O128" i="33"/>
  <c r="O190" i="33"/>
  <c r="Q288" i="6"/>
  <c r="R288" i="6" s="1"/>
  <c r="O288" i="6"/>
  <c r="X287" i="6"/>
  <c r="R287" i="6"/>
  <c r="Q290" i="6"/>
  <c r="R290" i="6" s="1"/>
  <c r="O290" i="6"/>
  <c r="X289" i="6"/>
  <c r="R289" i="6"/>
  <c r="Q270" i="6"/>
  <c r="R270" i="6" s="1"/>
  <c r="O270" i="6"/>
  <c r="I270" i="6"/>
  <c r="F270" i="6"/>
  <c r="Q286" i="6"/>
  <c r="O286" i="6"/>
  <c r="Q285" i="6"/>
  <c r="O285" i="6"/>
  <c r="Q284" i="6"/>
  <c r="O284" i="6"/>
  <c r="I284" i="6"/>
  <c r="F284" i="6"/>
  <c r="Q282" i="6"/>
  <c r="O282" i="6"/>
  <c r="Q281" i="6"/>
  <c r="O281" i="6"/>
  <c r="Q280" i="6"/>
  <c r="O280" i="6"/>
  <c r="Q279" i="6"/>
  <c r="O279" i="6"/>
  <c r="Q278" i="6"/>
  <c r="O278" i="6"/>
  <c r="I278" i="6"/>
  <c r="F278" i="6"/>
  <c r="Q292" i="6"/>
  <c r="R292" i="6" s="1"/>
  <c r="U291" i="6" s="1"/>
  <c r="O292" i="6"/>
  <c r="X291" i="6"/>
  <c r="R291" i="6"/>
  <c r="Q276" i="6"/>
  <c r="O276" i="6"/>
  <c r="Q275" i="6"/>
  <c r="O275" i="6"/>
  <c r="Q274" i="6"/>
  <c r="O274" i="6"/>
  <c r="I274" i="6"/>
  <c r="F274" i="6"/>
  <c r="Q272" i="6"/>
  <c r="R272" i="6" s="1"/>
  <c r="U271" i="6" s="1"/>
  <c r="O272" i="6"/>
  <c r="I272" i="6"/>
  <c r="F272" i="6"/>
  <c r="X300" i="6"/>
  <c r="X298" i="6"/>
  <c r="Q268" i="6"/>
  <c r="R268" i="6" s="1"/>
  <c r="U267" i="6" s="1"/>
  <c r="O268" i="6"/>
  <c r="I268" i="6"/>
  <c r="F268" i="6"/>
  <c r="Q266" i="6"/>
  <c r="R266" i="6" s="1"/>
  <c r="U265" i="6" s="1"/>
  <c r="O266" i="6"/>
  <c r="I266" i="6"/>
  <c r="F266" i="6"/>
  <c r="P264" i="6"/>
  <c r="Q264" i="6" s="1"/>
  <c r="R264" i="6" s="1"/>
  <c r="U263" i="6" s="1"/>
  <c r="O264" i="6"/>
  <c r="I264" i="6"/>
  <c r="F264" i="6"/>
  <c r="P262" i="6"/>
  <c r="O262" i="6"/>
  <c r="I262" i="6"/>
  <c r="F262" i="6"/>
  <c r="R261" i="6" s="1"/>
  <c r="Q257" i="6"/>
  <c r="R257" i="6" s="1"/>
  <c r="U256" i="6" s="1"/>
  <c r="O257" i="6"/>
  <c r="I257" i="6"/>
  <c r="F257" i="6"/>
  <c r="I237" i="6"/>
  <c r="I238" i="6" s="1"/>
  <c r="R237" i="6" s="1"/>
  <c r="S237" i="6" s="1"/>
  <c r="T237" i="6" s="1"/>
  <c r="Q255" i="6"/>
  <c r="R255" i="6" s="1"/>
  <c r="O255" i="6"/>
  <c r="R254" i="6"/>
  <c r="N249" i="6"/>
  <c r="Q249" i="6" s="1"/>
  <c r="Q248" i="6"/>
  <c r="O248" i="6"/>
  <c r="I247" i="6"/>
  <c r="I248" i="6" s="1"/>
  <c r="F247" i="6"/>
  <c r="F248" i="6" s="1"/>
  <c r="Q246" i="6"/>
  <c r="R246" i="6" s="1"/>
  <c r="O246" i="6"/>
  <c r="I246" i="6"/>
  <c r="F246" i="6"/>
  <c r="Q244" i="6"/>
  <c r="R244" i="6" s="1"/>
  <c r="O244" i="6"/>
  <c r="I243" i="6"/>
  <c r="I244" i="6" s="1"/>
  <c r="F243" i="6"/>
  <c r="F244" i="6" s="1"/>
  <c r="Q242" i="6"/>
  <c r="R242" i="6" s="1"/>
  <c r="U241" i="6" s="1"/>
  <c r="I242" i="6"/>
  <c r="F242" i="6"/>
  <c r="R241" i="6"/>
  <c r="O242" i="6"/>
  <c r="Q240" i="6"/>
  <c r="R240" i="6" s="1"/>
  <c r="O240" i="6"/>
  <c r="I240" i="6"/>
  <c r="F240" i="6"/>
  <c r="I235" i="6"/>
  <c r="I236" i="6" s="1"/>
  <c r="F235" i="6"/>
  <c r="F236" i="6" s="1"/>
  <c r="I233" i="6"/>
  <c r="I234" i="6" s="1"/>
  <c r="F233" i="6"/>
  <c r="F234" i="6" s="1"/>
  <c r="I231" i="6"/>
  <c r="I232" i="6" s="1"/>
  <c r="F231" i="6"/>
  <c r="F232" i="6" s="1"/>
  <c r="R231" i="6" s="1"/>
  <c r="S231" i="6" s="1"/>
  <c r="T231" i="6" s="1"/>
  <c r="R273" i="6" l="1"/>
  <c r="R265" i="6"/>
  <c r="R277" i="6"/>
  <c r="U239" i="6"/>
  <c r="R248" i="6"/>
  <c r="U247" i="6" s="1"/>
  <c r="R269" i="6"/>
  <c r="S269" i="6" s="1"/>
  <c r="T269" i="6" s="1"/>
  <c r="S265" i="6"/>
  <c r="T265" i="6" s="1"/>
  <c r="R263" i="6"/>
  <c r="S263" i="6" s="1"/>
  <c r="T263" i="6" s="1"/>
  <c r="R284" i="6"/>
  <c r="U283" i="6" s="1"/>
  <c r="U287" i="6"/>
  <c r="S287" i="6"/>
  <c r="T287" i="6" s="1"/>
  <c r="U289" i="6"/>
  <c r="S289" i="6"/>
  <c r="T289" i="6" s="1"/>
  <c r="R271" i="6"/>
  <c r="S271" i="6" s="1"/>
  <c r="T271" i="6" s="1"/>
  <c r="R267" i="6"/>
  <c r="S267" i="6" s="1"/>
  <c r="T267" i="6" s="1"/>
  <c r="R274" i="6"/>
  <c r="U273" i="6" s="1"/>
  <c r="R256" i="6"/>
  <c r="S256" i="6" s="1"/>
  <c r="T256" i="6" s="1"/>
  <c r="R278" i="6"/>
  <c r="U277" i="6" s="1"/>
  <c r="R283" i="6"/>
  <c r="S283" i="6" s="1"/>
  <c r="T283" i="6" s="1"/>
  <c r="U269" i="6"/>
  <c r="S291" i="6"/>
  <c r="T291" i="6" s="1"/>
  <c r="Q262" i="6"/>
  <c r="R262" i="6" s="1"/>
  <c r="U261" i="6" s="1"/>
  <c r="U254" i="6"/>
  <c r="S254" i="6"/>
  <c r="T254" i="6" s="1"/>
  <c r="U245" i="6"/>
  <c r="R239" i="6"/>
  <c r="S239" i="6" s="1"/>
  <c r="T239" i="6" s="1"/>
  <c r="R245" i="6"/>
  <c r="S245" i="6" s="1"/>
  <c r="T245" i="6" s="1"/>
  <c r="R247" i="6"/>
  <c r="S247" i="6" s="1"/>
  <c r="T247" i="6" s="1"/>
  <c r="O249" i="6"/>
  <c r="R243" i="6"/>
  <c r="S243" i="6" s="1"/>
  <c r="T243" i="6" s="1"/>
  <c r="U243" i="6"/>
  <c r="S241" i="6"/>
  <c r="T241" i="6" s="1"/>
  <c r="R235" i="6"/>
  <c r="S235" i="6" s="1"/>
  <c r="T235" i="6" s="1"/>
  <c r="R233" i="6"/>
  <c r="S233" i="6" s="1"/>
  <c r="T233" i="6" s="1"/>
  <c r="Q260" i="6"/>
  <c r="O260" i="6"/>
  <c r="Q259" i="6"/>
  <c r="O259" i="6"/>
  <c r="F259" i="6"/>
  <c r="I258" i="6"/>
  <c r="I259" i="6" s="1"/>
  <c r="Q253" i="6"/>
  <c r="R253" i="6" s="1"/>
  <c r="U252" i="6" s="1"/>
  <c r="O253" i="6"/>
  <c r="R252" i="6"/>
  <c r="Q251" i="6"/>
  <c r="R251" i="6" s="1"/>
  <c r="O251" i="6"/>
  <c r="R250" i="6"/>
  <c r="P229" i="6"/>
  <c r="N229" i="6"/>
  <c r="Q228" i="6"/>
  <c r="O228" i="6"/>
  <c r="I227" i="6"/>
  <c r="I228" i="6" s="1"/>
  <c r="F227" i="6"/>
  <c r="F228" i="6" s="1"/>
  <c r="Q219" i="6"/>
  <c r="O219" i="6"/>
  <c r="Q218" i="6"/>
  <c r="Q217" i="6"/>
  <c r="O217" i="6"/>
  <c r="Q216" i="6"/>
  <c r="O216" i="6"/>
  <c r="I216" i="6"/>
  <c r="F216" i="6"/>
  <c r="O218" i="6"/>
  <c r="E213" i="6"/>
  <c r="O214" i="6" s="1"/>
  <c r="I212" i="6"/>
  <c r="F211" i="6"/>
  <c r="F212" i="6" s="1"/>
  <c r="F205" i="6"/>
  <c r="F206" i="6" s="1"/>
  <c r="R205" i="6" s="1"/>
  <c r="S205" i="6" s="1"/>
  <c r="T205" i="6" s="1"/>
  <c r="E202" i="6"/>
  <c r="O203" i="6" s="1"/>
  <c r="Q204" i="6"/>
  <c r="P203" i="6"/>
  <c r="Q203" i="6" s="1"/>
  <c r="I202" i="6"/>
  <c r="I203" i="6" s="1"/>
  <c r="F202" i="6"/>
  <c r="F203" i="6" s="1"/>
  <c r="Q226" i="6"/>
  <c r="Q225" i="6"/>
  <c r="F225" i="6"/>
  <c r="I224" i="6"/>
  <c r="I225" i="6" s="1"/>
  <c r="O225" i="6"/>
  <c r="Q223" i="6"/>
  <c r="R223" i="6" s="1"/>
  <c r="U222" i="6" s="1"/>
  <c r="O223" i="6"/>
  <c r="R222" i="6"/>
  <c r="Q221" i="6"/>
  <c r="R221" i="6" s="1"/>
  <c r="U220" i="6" s="1"/>
  <c r="O221" i="6"/>
  <c r="R220" i="6"/>
  <c r="Q214" i="6"/>
  <c r="R214" i="6" s="1"/>
  <c r="R213" i="6"/>
  <c r="Q210" i="6"/>
  <c r="O210" i="6"/>
  <c r="Q209" i="6"/>
  <c r="O209" i="6"/>
  <c r="Q208" i="6"/>
  <c r="O208" i="6"/>
  <c r="I208" i="6"/>
  <c r="F208" i="6"/>
  <c r="S273" i="6" l="1"/>
  <c r="T273" i="6" s="1"/>
  <c r="S277" i="6"/>
  <c r="T277" i="6" s="1"/>
  <c r="R258" i="6"/>
  <c r="R259" i="6"/>
  <c r="U258" i="6" s="1"/>
  <c r="S261" i="6"/>
  <c r="T261" i="6" s="1"/>
  <c r="R224" i="6"/>
  <c r="U250" i="6"/>
  <c r="S250" i="6"/>
  <c r="T250" i="6" s="1"/>
  <c r="R227" i="6"/>
  <c r="Q229" i="6"/>
  <c r="R228" i="6" s="1"/>
  <c r="U227" i="6" s="1"/>
  <c r="S252" i="6"/>
  <c r="T252" i="6" s="1"/>
  <c r="R215" i="6"/>
  <c r="R216" i="6"/>
  <c r="U215" i="6" s="1"/>
  <c r="O229" i="6"/>
  <c r="R208" i="6"/>
  <c r="U207" i="6" s="1"/>
  <c r="R207" i="6"/>
  <c r="R211" i="6"/>
  <c r="S211" i="6" s="1"/>
  <c r="T211" i="6" s="1"/>
  <c r="R202" i="6"/>
  <c r="O204" i="6"/>
  <c r="R225" i="6"/>
  <c r="U224" i="6" s="1"/>
  <c r="R203" i="6"/>
  <c r="U202" i="6" s="1"/>
  <c r="S222" i="6"/>
  <c r="T222" i="6" s="1"/>
  <c r="U213" i="6"/>
  <c r="S213" i="6"/>
  <c r="T213" i="6" s="1"/>
  <c r="S220" i="6"/>
  <c r="T220" i="6" s="1"/>
  <c r="O226" i="6"/>
  <c r="S258" i="6" l="1"/>
  <c r="T258" i="6" s="1"/>
  <c r="S227" i="6"/>
  <c r="T227" i="6" s="1"/>
  <c r="S215" i="6"/>
  <c r="T215" i="6" s="1"/>
  <c r="S207" i="6"/>
  <c r="T207" i="6" s="1"/>
  <c r="S224" i="6"/>
  <c r="T224" i="6" s="1"/>
  <c r="S202" i="6"/>
  <c r="T202" i="6" s="1"/>
  <c r="Q161" i="6" l="1"/>
  <c r="R161" i="6" s="1"/>
  <c r="U160" i="6" s="1"/>
  <c r="O161" i="6"/>
  <c r="R160" i="6"/>
  <c r="S160" i="6" l="1"/>
  <c r="T160" i="6" s="1"/>
  <c r="Q179" i="6"/>
  <c r="R179" i="6" s="1"/>
  <c r="U178" i="6" s="1"/>
  <c r="O179" i="6"/>
  <c r="I179" i="6"/>
  <c r="F178" i="6"/>
  <c r="F179" i="6" s="1"/>
  <c r="P197" i="6"/>
  <c r="P196" i="6"/>
  <c r="Q196" i="6" s="1"/>
  <c r="Q200" i="6"/>
  <c r="Q199" i="6"/>
  <c r="F199" i="6"/>
  <c r="I198" i="6"/>
  <c r="I199" i="6" s="1"/>
  <c r="E198" i="6"/>
  <c r="O199" i="6" s="1"/>
  <c r="N197" i="6"/>
  <c r="O197" i="6" s="1"/>
  <c r="O196" i="6"/>
  <c r="I195" i="6"/>
  <c r="I196" i="6" s="1"/>
  <c r="F195" i="6"/>
  <c r="F196" i="6" s="1"/>
  <c r="Q194" i="6"/>
  <c r="O194" i="6"/>
  <c r="Q193" i="6"/>
  <c r="O193" i="6"/>
  <c r="I193" i="6"/>
  <c r="F193" i="6"/>
  <c r="Q191" i="6"/>
  <c r="Q190" i="6"/>
  <c r="Q189" i="6"/>
  <c r="Q188" i="6"/>
  <c r="I188" i="6"/>
  <c r="F188" i="6"/>
  <c r="E187" i="6"/>
  <c r="O190" i="6" s="1"/>
  <c r="Q186" i="6"/>
  <c r="R186" i="6" s="1"/>
  <c r="U185" i="6" s="1"/>
  <c r="O186" i="6"/>
  <c r="R185" i="6"/>
  <c r="Q184" i="6"/>
  <c r="O184" i="6"/>
  <c r="Q183" i="6"/>
  <c r="O183" i="6"/>
  <c r="Q182" i="6"/>
  <c r="O182" i="6"/>
  <c r="I182" i="6"/>
  <c r="F182" i="6"/>
  <c r="R181" i="6" l="1"/>
  <c r="O188" i="6"/>
  <c r="R198" i="6"/>
  <c r="R178" i="6"/>
  <c r="S178" i="6" s="1"/>
  <c r="T178" i="6" s="1"/>
  <c r="R182" i="6"/>
  <c r="U181" i="6" s="1"/>
  <c r="O189" i="6"/>
  <c r="R193" i="6"/>
  <c r="U192" i="6" s="1"/>
  <c r="R195" i="6"/>
  <c r="O191" i="6"/>
  <c r="R187" i="6"/>
  <c r="Q197" i="6"/>
  <c r="R196" i="6" s="1"/>
  <c r="R192" i="6"/>
  <c r="O200" i="6"/>
  <c r="R199" i="6"/>
  <c r="U198" i="6" s="1"/>
  <c r="R188" i="6"/>
  <c r="U187" i="6" s="1"/>
  <c r="S185" i="6"/>
  <c r="T185" i="6" s="1"/>
  <c r="S192" i="6" l="1"/>
  <c r="T192" i="6" s="1"/>
  <c r="S181" i="6"/>
  <c r="T181" i="6" s="1"/>
  <c r="U195" i="6"/>
  <c r="S195" i="6"/>
  <c r="T195" i="6" s="1"/>
  <c r="S198" i="6"/>
  <c r="T198" i="6" s="1"/>
  <c r="S187" i="6"/>
  <c r="T187" i="6" s="1"/>
  <c r="I174" i="6" l="1"/>
  <c r="I175" i="6" s="1"/>
  <c r="F174" i="6"/>
  <c r="R177" i="6"/>
  <c r="U176" i="6" s="1"/>
  <c r="I176" i="6"/>
  <c r="I177" i="6" s="1"/>
  <c r="F176" i="6"/>
  <c r="F177" i="6" s="1"/>
  <c r="F175" i="6"/>
  <c r="R175" i="6"/>
  <c r="U174" i="6" s="1"/>
  <c r="Q173" i="6"/>
  <c r="P172" i="6"/>
  <c r="Q172" i="6" s="1"/>
  <c r="Q171" i="6"/>
  <c r="I171" i="6"/>
  <c r="F171" i="6"/>
  <c r="O172" i="6"/>
  <c r="Q169" i="6"/>
  <c r="O169" i="6"/>
  <c r="P168" i="6"/>
  <c r="Q168" i="6" s="1"/>
  <c r="O168" i="6"/>
  <c r="Q167" i="6"/>
  <c r="O167" i="6"/>
  <c r="I167" i="6"/>
  <c r="F167" i="6"/>
  <c r="N165" i="6"/>
  <c r="Q165" i="6" s="1"/>
  <c r="R165" i="6" s="1"/>
  <c r="U164" i="6" s="1"/>
  <c r="I164" i="6"/>
  <c r="I165" i="6" s="1"/>
  <c r="F164" i="6"/>
  <c r="F165" i="6" s="1"/>
  <c r="Q163" i="6"/>
  <c r="R163" i="6" s="1"/>
  <c r="U162" i="6" s="1"/>
  <c r="O163" i="6"/>
  <c r="I162" i="6"/>
  <c r="I163" i="6" s="1"/>
  <c r="F162" i="6"/>
  <c r="F163" i="6" s="1"/>
  <c r="P159" i="6"/>
  <c r="Q159" i="6" s="1"/>
  <c r="R159" i="6" s="1"/>
  <c r="U158" i="6" s="1"/>
  <c r="P155" i="6"/>
  <c r="Q155" i="6" s="1"/>
  <c r="R155" i="6" s="1"/>
  <c r="U154" i="6" s="1"/>
  <c r="O159" i="6"/>
  <c r="I159" i="6"/>
  <c r="F159" i="6"/>
  <c r="P157" i="6"/>
  <c r="Q157" i="6" s="1"/>
  <c r="R157" i="6" s="1"/>
  <c r="O157" i="6"/>
  <c r="I157" i="6"/>
  <c r="F157" i="6"/>
  <c r="O155" i="6"/>
  <c r="I155" i="6"/>
  <c r="F155" i="6"/>
  <c r="R154" i="6" s="1"/>
  <c r="P153" i="6"/>
  <c r="Q153" i="6" s="1"/>
  <c r="R153" i="6" s="1"/>
  <c r="U152" i="6" s="1"/>
  <c r="O153" i="6"/>
  <c r="I153" i="6"/>
  <c r="F153" i="6"/>
  <c r="Q151" i="6"/>
  <c r="R151" i="6" s="1"/>
  <c r="U150" i="6" s="1"/>
  <c r="O151" i="6"/>
  <c r="I151" i="6"/>
  <c r="F151" i="6"/>
  <c r="R150" i="6" s="1"/>
  <c r="Q149" i="6"/>
  <c r="R149" i="6" s="1"/>
  <c r="U148" i="6" s="1"/>
  <c r="O149" i="6"/>
  <c r="I149" i="6"/>
  <c r="F149" i="6"/>
  <c r="R158" i="6" l="1"/>
  <c r="R167" i="6"/>
  <c r="R166" i="6"/>
  <c r="R148" i="6"/>
  <c r="S148" i="6" s="1"/>
  <c r="T148" i="6" s="1"/>
  <c r="R156" i="6"/>
  <c r="S156" i="6" s="1"/>
  <c r="T156" i="6" s="1"/>
  <c r="R170" i="6"/>
  <c r="R152" i="6"/>
  <c r="S152" i="6" s="1"/>
  <c r="T152" i="6" s="1"/>
  <c r="O165" i="6"/>
  <c r="R176" i="6"/>
  <c r="S176" i="6" s="1"/>
  <c r="T176" i="6" s="1"/>
  <c r="S158" i="6"/>
  <c r="T158" i="6" s="1"/>
  <c r="R164" i="6"/>
  <c r="S164" i="6" s="1"/>
  <c r="T164" i="6" s="1"/>
  <c r="R171" i="6"/>
  <c r="U170" i="6" s="1"/>
  <c r="R174" i="6"/>
  <c r="S174" i="6" s="1"/>
  <c r="T174" i="6" s="1"/>
  <c r="O171" i="6"/>
  <c r="O173" i="6"/>
  <c r="U166" i="6"/>
  <c r="S166" i="6"/>
  <c r="T166" i="6" s="1"/>
  <c r="R162" i="6"/>
  <c r="S162" i="6" s="1"/>
  <c r="T162" i="6" s="1"/>
  <c r="S154" i="6"/>
  <c r="T154" i="6" s="1"/>
  <c r="U156" i="6"/>
  <c r="X155" i="6"/>
  <c r="X160" i="6" s="1"/>
  <c r="S150" i="6"/>
  <c r="T150" i="6" s="1"/>
  <c r="S170" i="6" l="1"/>
  <c r="T170" i="6" s="1"/>
  <c r="F146" i="6"/>
  <c r="Q146" i="6"/>
  <c r="R146" i="6" s="1"/>
  <c r="O146" i="6"/>
  <c r="I146" i="6"/>
  <c r="F144" i="6"/>
  <c r="I143" i="6"/>
  <c r="I144" i="6" s="1"/>
  <c r="R145" i="6" l="1"/>
  <c r="S145" i="6" s="1"/>
  <c r="T145" i="6" s="1"/>
  <c r="U145" i="6"/>
  <c r="R143" i="6"/>
  <c r="S143" i="6" s="1"/>
  <c r="T143" i="6" s="1"/>
  <c r="I141" i="6" l="1"/>
  <c r="I142" i="6" s="1"/>
  <c r="R141" i="6" s="1"/>
  <c r="S141" i="6" s="1"/>
  <c r="T141" i="6" s="1"/>
  <c r="Q140" i="6"/>
  <c r="U139" i="6" s="1"/>
  <c r="O140" i="6"/>
  <c r="I139" i="6"/>
  <c r="I140" i="6" s="1"/>
  <c r="R139" i="6" s="1"/>
  <c r="Q138" i="6"/>
  <c r="R138" i="6" s="1"/>
  <c r="O138" i="6"/>
  <c r="I138" i="6"/>
  <c r="F138" i="6"/>
  <c r="I135" i="6"/>
  <c r="I136" i="6" s="1"/>
  <c r="F135" i="6"/>
  <c r="F136" i="6" s="1"/>
  <c r="I133" i="6"/>
  <c r="I134" i="6" s="1"/>
  <c r="F133" i="6"/>
  <c r="F134" i="6" s="1"/>
  <c r="F132" i="6"/>
  <c r="R131" i="6" s="1"/>
  <c r="S131" i="6" s="1"/>
  <c r="T131" i="6" s="1"/>
  <c r="Q129" i="6"/>
  <c r="Q128" i="6"/>
  <c r="F128" i="6"/>
  <c r="I127" i="6"/>
  <c r="I128" i="6" s="1"/>
  <c r="E127" i="6"/>
  <c r="O128" i="6" s="1"/>
  <c r="P126" i="6"/>
  <c r="N126" i="6"/>
  <c r="O126" i="6" s="1"/>
  <c r="P125" i="6"/>
  <c r="Q125" i="6" s="1"/>
  <c r="O125" i="6"/>
  <c r="I124" i="6"/>
  <c r="I125" i="6" s="1"/>
  <c r="F124" i="6"/>
  <c r="F125" i="6" s="1"/>
  <c r="Q123" i="6"/>
  <c r="R123" i="6" s="1"/>
  <c r="U122" i="6" s="1"/>
  <c r="F123" i="6"/>
  <c r="I122" i="6"/>
  <c r="I123" i="6" s="1"/>
  <c r="O123" i="6"/>
  <c r="O119" i="6"/>
  <c r="Q121" i="6"/>
  <c r="O121" i="6"/>
  <c r="Q120" i="6"/>
  <c r="O120" i="6"/>
  <c r="Q119" i="6"/>
  <c r="I119" i="6"/>
  <c r="F119" i="6"/>
  <c r="Q117" i="6"/>
  <c r="Q116" i="6"/>
  <c r="F116" i="6"/>
  <c r="I115" i="6"/>
  <c r="I116" i="6" s="1"/>
  <c r="E115" i="6"/>
  <c r="O116" i="6" s="1"/>
  <c r="P114" i="6"/>
  <c r="N114" i="6"/>
  <c r="P113" i="6"/>
  <c r="Q113" i="6" s="1"/>
  <c r="O113" i="6"/>
  <c r="I112" i="6"/>
  <c r="I113" i="6" s="1"/>
  <c r="F112" i="6"/>
  <c r="F113" i="6" s="1"/>
  <c r="Q110" i="6"/>
  <c r="O110" i="6"/>
  <c r="N111" i="6"/>
  <c r="Q111" i="6" s="1"/>
  <c r="I109" i="6"/>
  <c r="I110" i="6" s="1"/>
  <c r="F109" i="6"/>
  <c r="F110" i="6" s="1"/>
  <c r="Q108" i="6"/>
  <c r="R108" i="6" s="1"/>
  <c r="U107" i="6" s="1"/>
  <c r="O108" i="6"/>
  <c r="I107" i="6"/>
  <c r="I108" i="6" s="1"/>
  <c r="F107" i="6"/>
  <c r="F108" i="6" s="1"/>
  <c r="Q106" i="6"/>
  <c r="R106" i="6" s="1"/>
  <c r="U105" i="6" s="1"/>
  <c r="O106" i="6"/>
  <c r="I106" i="6"/>
  <c r="F106" i="6"/>
  <c r="Q104" i="6"/>
  <c r="R104" i="6" s="1"/>
  <c r="U103" i="6" s="1"/>
  <c r="O104" i="6"/>
  <c r="I104" i="6"/>
  <c r="F104" i="6"/>
  <c r="R118" i="6" l="1"/>
  <c r="R122" i="6"/>
  <c r="R128" i="6"/>
  <c r="U127" i="6" s="1"/>
  <c r="U137" i="6"/>
  <c r="R116" i="6"/>
  <c r="R103" i="6"/>
  <c r="S103" i="6" s="1"/>
  <c r="T103" i="6" s="1"/>
  <c r="R115" i="6"/>
  <c r="R135" i="6"/>
  <c r="S135" i="6" s="1"/>
  <c r="T135" i="6" s="1"/>
  <c r="R137" i="6"/>
  <c r="S137" i="6" s="1"/>
  <c r="T137" i="6" s="1"/>
  <c r="R112" i="6"/>
  <c r="Q114" i="6"/>
  <c r="R113" i="6" s="1"/>
  <c r="U112" i="6" s="1"/>
  <c r="R105" i="6"/>
  <c r="S105" i="6" s="1"/>
  <c r="T105" i="6" s="1"/>
  <c r="O111" i="6"/>
  <c r="O117" i="6"/>
  <c r="S122" i="6"/>
  <c r="T122" i="6" s="1"/>
  <c r="R124" i="6"/>
  <c r="R127" i="6"/>
  <c r="R133" i="6"/>
  <c r="S133" i="6" s="1"/>
  <c r="T133" i="6" s="1"/>
  <c r="R140" i="6"/>
  <c r="S139" i="6" s="1"/>
  <c r="T139" i="6" s="1"/>
  <c r="R119" i="6"/>
  <c r="U118" i="6" s="1"/>
  <c r="Q126" i="6"/>
  <c r="R125" i="6" s="1"/>
  <c r="U124" i="6" s="1"/>
  <c r="O129" i="6"/>
  <c r="U115" i="6"/>
  <c r="O114" i="6"/>
  <c r="R109" i="6"/>
  <c r="R110" i="6"/>
  <c r="U109" i="6" s="1"/>
  <c r="R107" i="6"/>
  <c r="S107" i="6" s="1"/>
  <c r="T107" i="6" s="1"/>
  <c r="I87" i="6"/>
  <c r="I88" i="6" s="1"/>
  <c r="F87" i="6"/>
  <c r="O88" i="6"/>
  <c r="N89" i="6"/>
  <c r="Q89" i="6" s="1"/>
  <c r="Q101" i="6"/>
  <c r="R101" i="6" s="1"/>
  <c r="U100" i="6" s="1"/>
  <c r="O101" i="6"/>
  <c r="X100" i="6"/>
  <c r="R100" i="6"/>
  <c r="P99" i="6"/>
  <c r="Q99" i="6" s="1"/>
  <c r="R99" i="6" s="1"/>
  <c r="O99" i="6"/>
  <c r="X98" i="6"/>
  <c r="R98" i="6"/>
  <c r="Q97" i="6"/>
  <c r="R97" i="6" s="1"/>
  <c r="U96" i="6" s="1"/>
  <c r="O97" i="6"/>
  <c r="X96" i="6"/>
  <c r="R96" i="6"/>
  <c r="Q95" i="6"/>
  <c r="O95" i="6"/>
  <c r="I94" i="6"/>
  <c r="F94" i="6"/>
  <c r="Q92" i="6"/>
  <c r="O92" i="6"/>
  <c r="Q91" i="6"/>
  <c r="O91" i="6"/>
  <c r="F91" i="6"/>
  <c r="I90" i="6"/>
  <c r="I91" i="6" s="1"/>
  <c r="E84" i="6"/>
  <c r="Q88" i="6"/>
  <c r="F88" i="6"/>
  <c r="S127" i="6" l="1"/>
  <c r="T127" i="6" s="1"/>
  <c r="S115" i="6"/>
  <c r="T115" i="6" s="1"/>
  <c r="R93" i="6"/>
  <c r="R91" i="6"/>
  <c r="U90" i="6" s="1"/>
  <c r="R90" i="6"/>
  <c r="S124" i="6"/>
  <c r="T124" i="6" s="1"/>
  <c r="R87" i="6"/>
  <c r="O89" i="6"/>
  <c r="S118" i="6"/>
  <c r="T118" i="6" s="1"/>
  <c r="S112" i="6"/>
  <c r="T112" i="6" s="1"/>
  <c r="S109" i="6"/>
  <c r="T109" i="6" s="1"/>
  <c r="R88" i="6"/>
  <c r="U87" i="6" s="1"/>
  <c r="S100" i="6"/>
  <c r="T100" i="6" s="1"/>
  <c r="U98" i="6"/>
  <c r="S98" i="6"/>
  <c r="T98" i="6" s="1"/>
  <c r="S96" i="6"/>
  <c r="T96" i="6" s="1"/>
  <c r="R94" i="6"/>
  <c r="U93" i="6" s="1"/>
  <c r="S90" i="6" l="1"/>
  <c r="T90" i="6" s="1"/>
  <c r="S93" i="6"/>
  <c r="T93" i="6" s="1"/>
  <c r="S87" i="6"/>
  <c r="T87" i="6" s="1"/>
  <c r="N86" i="6" l="1"/>
  <c r="O86" i="6" s="1"/>
  <c r="Q86" i="6"/>
  <c r="F84" i="6"/>
  <c r="O85" i="6"/>
  <c r="Q85" i="6"/>
  <c r="F85" i="6"/>
  <c r="I85" i="6"/>
  <c r="N83" i="6"/>
  <c r="Q83" i="6" s="1"/>
  <c r="I83" i="6"/>
  <c r="F83" i="6"/>
  <c r="Q81" i="6"/>
  <c r="Q80" i="6"/>
  <c r="F80" i="6"/>
  <c r="I79" i="6"/>
  <c r="I80" i="6" s="1"/>
  <c r="R79" i="6" s="1"/>
  <c r="O80" i="6"/>
  <c r="R83" i="6" l="1"/>
  <c r="U82" i="6"/>
  <c r="R80" i="6"/>
  <c r="U79" i="6" s="1"/>
  <c r="R84" i="6"/>
  <c r="O83" i="6"/>
  <c r="R82" i="6"/>
  <c r="R85" i="6"/>
  <c r="U84" i="6" s="1"/>
  <c r="O81" i="6"/>
  <c r="S82" i="6" l="1"/>
  <c r="T82" i="6" s="1"/>
  <c r="S84" i="6"/>
  <c r="T84" i="6" s="1"/>
  <c r="S79" i="6"/>
  <c r="T79" i="6" s="1"/>
  <c r="Q78" i="6" l="1"/>
  <c r="O78" i="6"/>
  <c r="Q77" i="6"/>
  <c r="Q76" i="6"/>
  <c r="Q75" i="6"/>
  <c r="O75" i="6"/>
  <c r="I75" i="6"/>
  <c r="F75" i="6"/>
  <c r="O77" i="6"/>
  <c r="N73" i="6"/>
  <c r="Q73" i="6" s="1"/>
  <c r="R73" i="6" s="1"/>
  <c r="U72" i="6" s="1"/>
  <c r="I72" i="6"/>
  <c r="I73" i="6" s="1"/>
  <c r="F72" i="6"/>
  <c r="F73" i="6" s="1"/>
  <c r="N71" i="6"/>
  <c r="Q71" i="6" s="1"/>
  <c r="I71" i="6"/>
  <c r="F71" i="6"/>
  <c r="O68" i="6"/>
  <c r="Q68" i="6"/>
  <c r="P69" i="6"/>
  <c r="Q69" i="6" s="1"/>
  <c r="O69" i="6"/>
  <c r="Q67" i="6"/>
  <c r="O67" i="6"/>
  <c r="I66" i="6"/>
  <c r="I67" i="6" s="1"/>
  <c r="F66" i="6"/>
  <c r="F67" i="6" s="1"/>
  <c r="E60" i="6"/>
  <c r="O61" i="6" s="1"/>
  <c r="E64" i="6"/>
  <c r="O65" i="6" s="1"/>
  <c r="Q65" i="6"/>
  <c r="R65" i="6" s="1"/>
  <c r="F65" i="6"/>
  <c r="I64" i="6"/>
  <c r="I65" i="6" s="1"/>
  <c r="Q63" i="6"/>
  <c r="R63" i="6" s="1"/>
  <c r="U62" i="6" s="1"/>
  <c r="O63" i="6"/>
  <c r="I63" i="6"/>
  <c r="F63" i="6"/>
  <c r="I60" i="6"/>
  <c r="I61" i="6" s="1"/>
  <c r="Q61" i="6"/>
  <c r="R61" i="6" s="1"/>
  <c r="F61" i="6"/>
  <c r="Q53" i="6"/>
  <c r="O53" i="6"/>
  <c r="Q59" i="6"/>
  <c r="R59" i="6" s="1"/>
  <c r="U58" i="6" s="1"/>
  <c r="O59" i="6"/>
  <c r="X58" i="6"/>
  <c r="R58" i="6"/>
  <c r="Q57" i="6"/>
  <c r="R57" i="6" s="1"/>
  <c r="U56" i="6" s="1"/>
  <c r="O57" i="6"/>
  <c r="X56" i="6"/>
  <c r="R56" i="6"/>
  <c r="Q47" i="6"/>
  <c r="R47" i="6" s="1"/>
  <c r="U46" i="6" s="1"/>
  <c r="O47" i="6"/>
  <c r="X46" i="6"/>
  <c r="R46" i="6"/>
  <c r="Q51" i="6"/>
  <c r="R51" i="6" s="1"/>
  <c r="U50" i="6" s="1"/>
  <c r="O51" i="6"/>
  <c r="X50" i="6"/>
  <c r="R50" i="6"/>
  <c r="Q49" i="6"/>
  <c r="R49" i="6" s="1"/>
  <c r="U48" i="6" s="1"/>
  <c r="O49" i="6"/>
  <c r="X48" i="6"/>
  <c r="R48" i="6"/>
  <c r="O43" i="6"/>
  <c r="Q43" i="6"/>
  <c r="Q44" i="6"/>
  <c r="O44" i="6"/>
  <c r="Q42" i="6"/>
  <c r="O42" i="6"/>
  <c r="Q41" i="6"/>
  <c r="O41" i="6"/>
  <c r="Q45" i="6"/>
  <c r="O45" i="6"/>
  <c r="I41" i="6"/>
  <c r="F41" i="6"/>
  <c r="R64" i="6" l="1"/>
  <c r="S64" i="6" s="1"/>
  <c r="T64" i="6" s="1"/>
  <c r="R72" i="6"/>
  <c r="R74" i="6"/>
  <c r="R62" i="6"/>
  <c r="S62" i="6" s="1"/>
  <c r="T62" i="6" s="1"/>
  <c r="R70" i="6"/>
  <c r="R75" i="6"/>
  <c r="U74" i="6" s="1"/>
  <c r="R66" i="6"/>
  <c r="S56" i="6"/>
  <c r="T56" i="6" s="1"/>
  <c r="O76" i="6"/>
  <c r="S72" i="6"/>
  <c r="T72" i="6" s="1"/>
  <c r="O73" i="6"/>
  <c r="R71" i="6"/>
  <c r="S70" i="6" s="1"/>
  <c r="T70" i="6" s="1"/>
  <c r="U70" i="6"/>
  <c r="O71" i="6"/>
  <c r="R67" i="6"/>
  <c r="U66" i="6" s="1"/>
  <c r="U60" i="6"/>
  <c r="U64" i="6"/>
  <c r="R60" i="6"/>
  <c r="S60" i="6" s="1"/>
  <c r="T60" i="6" s="1"/>
  <c r="S58" i="6"/>
  <c r="T58" i="6" s="1"/>
  <c r="S46" i="6"/>
  <c r="T46" i="6" s="1"/>
  <c r="S48" i="6"/>
  <c r="T48" i="6" s="1"/>
  <c r="S50" i="6"/>
  <c r="T50" i="6" s="1"/>
  <c r="R41" i="6"/>
  <c r="U40" i="6" s="1"/>
  <c r="R40" i="6"/>
  <c r="S74" i="6" l="1"/>
  <c r="T74" i="6" s="1"/>
  <c r="S66" i="6"/>
  <c r="T66" i="6" s="1"/>
  <c r="S40" i="6"/>
  <c r="T40" i="6" s="1"/>
  <c r="Q37" i="6" l="1"/>
  <c r="R37" i="6" s="1"/>
  <c r="U36" i="6" s="1"/>
  <c r="O37" i="6"/>
  <c r="X36" i="6"/>
  <c r="R36" i="6"/>
  <c r="Q39" i="6"/>
  <c r="R39" i="6" s="1"/>
  <c r="U38" i="6" s="1"/>
  <c r="O39" i="6"/>
  <c r="X38" i="6"/>
  <c r="R38" i="6"/>
  <c r="S38" i="6" l="1"/>
  <c r="T38" i="6" s="1"/>
  <c r="S36" i="6"/>
  <c r="T36" i="6" s="1"/>
  <c r="Q35" i="6" l="1"/>
  <c r="O35" i="6"/>
  <c r="Q34" i="6"/>
  <c r="O34" i="6"/>
  <c r="Q33" i="6"/>
  <c r="O33" i="6"/>
  <c r="I33" i="6"/>
  <c r="F33" i="6"/>
  <c r="Q31" i="6"/>
  <c r="R31" i="6" s="1"/>
  <c r="U30" i="6" s="1"/>
  <c r="O31" i="6"/>
  <c r="I31" i="6"/>
  <c r="F31" i="6"/>
  <c r="I27" i="6"/>
  <c r="I28" i="6" s="1"/>
  <c r="R27" i="6" s="1"/>
  <c r="S27" i="6" s="1"/>
  <c r="T27" i="6" s="1"/>
  <c r="I25" i="6"/>
  <c r="I26" i="6" s="1"/>
  <c r="F25" i="6"/>
  <c r="F26" i="6" s="1"/>
  <c r="I23" i="6"/>
  <c r="I24" i="6" s="1"/>
  <c r="F23" i="6"/>
  <c r="F24" i="6" s="1"/>
  <c r="A23" i="6"/>
  <c r="A25" i="6" s="1"/>
  <c r="A27" i="6" s="1"/>
  <c r="A30" i="6" s="1"/>
  <c r="A32" i="6" s="1"/>
  <c r="A38" i="6" l="1"/>
  <c r="A40" i="6" s="1"/>
  <c r="A46" i="6" s="1"/>
  <c r="A48" i="6" s="1"/>
  <c r="A50" i="6" s="1"/>
  <c r="A36" i="6"/>
  <c r="R32" i="6"/>
  <c r="R30" i="6"/>
  <c r="S30" i="6" s="1"/>
  <c r="T30" i="6" s="1"/>
  <c r="R33" i="6"/>
  <c r="U32" i="6" s="1"/>
  <c r="R23" i="6"/>
  <c r="S23" i="6" s="1"/>
  <c r="T23" i="6" s="1"/>
  <c r="R25" i="6"/>
  <c r="S25" i="6" s="1"/>
  <c r="T25" i="6" s="1"/>
  <c r="A56" i="6" l="1"/>
  <c r="A58" i="6" s="1"/>
  <c r="A60" i="6" s="1"/>
  <c r="A62" i="6" s="1"/>
  <c r="A64" i="6" s="1"/>
  <c r="A66" i="6" s="1"/>
  <c r="A70" i="6" s="1"/>
  <c r="A72" i="6" s="1"/>
  <c r="A74" i="6" s="1"/>
  <c r="A79" i="6" s="1"/>
  <c r="A82" i="6" s="1"/>
  <c r="A84" i="6" s="1"/>
  <c r="A87" i="6" s="1"/>
  <c r="A52" i="6"/>
  <c r="S32" i="6"/>
  <c r="T32" i="6" s="1"/>
  <c r="A90" i="6" l="1"/>
  <c r="Q55" i="6"/>
  <c r="O55" i="6"/>
  <c r="Q54" i="6"/>
  <c r="O54" i="6"/>
  <c r="I53" i="6"/>
  <c r="F53" i="6"/>
  <c r="A96" i="6" l="1"/>
  <c r="A98" i="6" s="1"/>
  <c r="A100" i="6" s="1"/>
  <c r="A103" i="6" s="1"/>
  <c r="A105" i="6" s="1"/>
  <c r="A107" i="6" s="1"/>
  <c r="A109" i="6" s="1"/>
  <c r="A112" i="6" s="1"/>
  <c r="A115" i="6" s="1"/>
  <c r="A118" i="6" s="1"/>
  <c r="A122" i="6" s="1"/>
  <c r="A124" i="6" s="1"/>
  <c r="A127" i="6" s="1"/>
  <c r="A131" i="6" s="1"/>
  <c r="A133" i="6" s="1"/>
  <c r="A135" i="6" s="1"/>
  <c r="A137" i="6" s="1"/>
  <c r="A139" i="6" s="1"/>
  <c r="A141" i="6" s="1"/>
  <c r="A143" i="6" s="1"/>
  <c r="A145" i="6" s="1"/>
  <c r="A148" i="6" s="1"/>
  <c r="A150" i="6" s="1"/>
  <c r="A152" i="6" s="1"/>
  <c r="A154" i="6" s="1"/>
  <c r="A156" i="6" s="1"/>
  <c r="A158" i="6" s="1"/>
  <c r="A93" i="6"/>
  <c r="R52" i="6"/>
  <c r="R53" i="6"/>
  <c r="U52" i="6" s="1"/>
  <c r="U293" i="6" s="1"/>
  <c r="A160" i="6" l="1"/>
  <c r="A162" i="6" s="1"/>
  <c r="A164" i="6" s="1"/>
  <c r="A166" i="6" s="1"/>
  <c r="A170" i="6" s="1"/>
  <c r="A174" i="6" s="1"/>
  <c r="A176" i="6" s="1"/>
  <c r="A178" i="6" s="1"/>
  <c r="S52" i="6"/>
  <c r="T52" i="6" s="1"/>
  <c r="T293" i="6" s="1"/>
  <c r="P295" i="34" l="1"/>
  <c r="E294" i="34"/>
  <c r="O295" i="34" s="1"/>
  <c r="E292" i="34"/>
  <c r="O293" i="34" s="1"/>
  <c r="O291" i="34"/>
  <c r="F286" i="34"/>
  <c r="E286" i="34"/>
  <c r="O287" i="34" s="1"/>
  <c r="F284" i="34"/>
  <c r="A284" i="34"/>
  <c r="A286" i="34" s="1"/>
  <c r="A290" i="34" s="1"/>
  <c r="A292" i="34" s="1"/>
  <c r="A294" i="34" s="1"/>
  <c r="F282" i="34"/>
  <c r="E282" i="34"/>
  <c r="E284" i="34" s="1"/>
  <c r="U281" i="34"/>
  <c r="P280" i="34"/>
  <c r="E279" i="34"/>
  <c r="O280" i="34" s="1"/>
  <c r="E277" i="34"/>
  <c r="O278" i="34" s="1"/>
  <c r="O276" i="34"/>
  <c r="F271" i="34"/>
  <c r="E271" i="34"/>
  <c r="O272" i="34" s="1"/>
  <c r="F269" i="34"/>
  <c r="A269" i="34"/>
  <c r="A271" i="34" s="1"/>
  <c r="A275" i="34" s="1"/>
  <c r="A277" i="34" s="1"/>
  <c r="A279" i="34" s="1"/>
  <c r="F267" i="34"/>
  <c r="E267" i="34"/>
  <c r="E269" i="34" s="1"/>
  <c r="U266" i="34"/>
  <c r="O265" i="34"/>
  <c r="I264" i="34"/>
  <c r="F264" i="34"/>
  <c r="N263" i="34"/>
  <c r="O263" i="34" s="1"/>
  <c r="N262" i="34"/>
  <c r="O262" i="34" s="1"/>
  <c r="I261" i="34"/>
  <c r="F261" i="34"/>
  <c r="I259" i="34"/>
  <c r="F259" i="34"/>
  <c r="E259" i="34"/>
  <c r="O258" i="34"/>
  <c r="O256" i="34"/>
  <c r="P254" i="34"/>
  <c r="O254" i="34"/>
  <c r="P252" i="34"/>
  <c r="O252" i="34"/>
  <c r="N250" i="34"/>
  <c r="I249" i="34"/>
  <c r="F249" i="34"/>
  <c r="E249" i="34"/>
  <c r="P248" i="34"/>
  <c r="N248" i="34"/>
  <c r="O248" i="34" s="1"/>
  <c r="P247" i="34"/>
  <c r="O247" i="34"/>
  <c r="I246" i="34"/>
  <c r="F246" i="34"/>
  <c r="O245" i="34"/>
  <c r="O244" i="34"/>
  <c r="O243" i="34"/>
  <c r="I242" i="34"/>
  <c r="F242" i="34"/>
  <c r="P240" i="34"/>
  <c r="I239" i="34"/>
  <c r="F239" i="34"/>
  <c r="E239" i="34"/>
  <c r="O240" i="34" s="1"/>
  <c r="O238" i="34"/>
  <c r="I237" i="34"/>
  <c r="P236" i="34"/>
  <c r="O236" i="34"/>
  <c r="O234" i="34"/>
  <c r="O233" i="34"/>
  <c r="I232" i="34"/>
  <c r="F232" i="34"/>
  <c r="O231" i="34"/>
  <c r="O230" i="34"/>
  <c r="O229" i="34"/>
  <c r="F226" i="34"/>
  <c r="F224" i="34"/>
  <c r="A224" i="34"/>
  <c r="A226" i="34" s="1"/>
  <c r="A228" i="34" s="1"/>
  <c r="A232" i="34" s="1"/>
  <c r="A235" i="34" s="1"/>
  <c r="A237" i="34" s="1"/>
  <c r="A239" i="34" s="1"/>
  <c r="A242" i="34" s="1"/>
  <c r="A246" i="34" s="1"/>
  <c r="A249" i="34" s="1"/>
  <c r="A251" i="34" s="1"/>
  <c r="A253" i="34" s="1"/>
  <c r="A255" i="34" s="1"/>
  <c r="A257" i="34" s="1"/>
  <c r="A259" i="34" s="1"/>
  <c r="A261" i="34" s="1"/>
  <c r="A264" i="34" s="1"/>
  <c r="F222" i="34"/>
  <c r="P219" i="34"/>
  <c r="E218" i="34"/>
  <c r="O219" i="34" s="1"/>
  <c r="E216" i="34"/>
  <c r="O217" i="34" s="1"/>
  <c r="O215" i="34"/>
  <c r="F210" i="34"/>
  <c r="E210" i="34"/>
  <c r="O213" i="34" s="1"/>
  <c r="F208" i="34"/>
  <c r="A208" i="34"/>
  <c r="A210" i="34" s="1"/>
  <c r="A214" i="34" s="1"/>
  <c r="A216" i="34" s="1"/>
  <c r="A218" i="34" s="1"/>
  <c r="F206" i="34"/>
  <c r="E206" i="34"/>
  <c r="E208" i="34" s="1"/>
  <c r="U205" i="34"/>
  <c r="P204" i="34"/>
  <c r="E203" i="34"/>
  <c r="O204" i="34" s="1"/>
  <c r="E201" i="34"/>
  <c r="O202" i="34" s="1"/>
  <c r="O200" i="34"/>
  <c r="F195" i="34"/>
  <c r="E195" i="34"/>
  <c r="F193" i="34"/>
  <c r="A193" i="34"/>
  <c r="A195" i="34" s="1"/>
  <c r="A199" i="34" s="1"/>
  <c r="A201" i="34" s="1"/>
  <c r="A203" i="34" s="1"/>
  <c r="F191" i="34"/>
  <c r="E191" i="34"/>
  <c r="E193" i="34" s="1"/>
  <c r="U190" i="34"/>
  <c r="P189" i="34"/>
  <c r="E188" i="34"/>
  <c r="O189" i="34" s="1"/>
  <c r="E186" i="34"/>
  <c r="O187" i="34" s="1"/>
  <c r="E184" i="34"/>
  <c r="O185" i="34" s="1"/>
  <c r="F180" i="34"/>
  <c r="E180" i="34"/>
  <c r="O183" i="34" s="1"/>
  <c r="F178" i="34"/>
  <c r="A178" i="34"/>
  <c r="A180" i="34" s="1"/>
  <c r="A184" i="34" s="1"/>
  <c r="A186" i="34" s="1"/>
  <c r="A188" i="34" s="1"/>
  <c r="F176" i="34"/>
  <c r="E176" i="34"/>
  <c r="E178" i="34" s="1"/>
  <c r="U175" i="34"/>
  <c r="O174" i="34"/>
  <c r="I173" i="34"/>
  <c r="F173" i="34"/>
  <c r="N172" i="34"/>
  <c r="N171" i="34"/>
  <c r="O171" i="34" s="1"/>
  <c r="I170" i="34"/>
  <c r="F170" i="34"/>
  <c r="I168" i="34"/>
  <c r="F168" i="34"/>
  <c r="E168" i="34"/>
  <c r="P167" i="34"/>
  <c r="O167" i="34"/>
  <c r="O165" i="34"/>
  <c r="O163" i="34"/>
  <c r="O161" i="34"/>
  <c r="N159" i="34"/>
  <c r="I158" i="34"/>
  <c r="F158" i="34"/>
  <c r="E158" i="34"/>
  <c r="P157" i="34"/>
  <c r="N157" i="34"/>
  <c r="O157" i="34" s="1"/>
  <c r="P156" i="34"/>
  <c r="O156" i="34"/>
  <c r="I155" i="34"/>
  <c r="F155" i="34"/>
  <c r="O154" i="34"/>
  <c r="O153" i="34"/>
  <c r="O152" i="34"/>
  <c r="I151" i="34"/>
  <c r="F151" i="34"/>
  <c r="P149" i="34"/>
  <c r="I148" i="34"/>
  <c r="F148" i="34"/>
  <c r="E148" i="34"/>
  <c r="O149" i="34" s="1"/>
  <c r="P146" i="34"/>
  <c r="I145" i="34"/>
  <c r="F145" i="34"/>
  <c r="E145" i="34"/>
  <c r="O147" i="34" s="1"/>
  <c r="O144" i="34"/>
  <c r="I143" i="34"/>
  <c r="P142" i="34"/>
  <c r="O142" i="34"/>
  <c r="O140" i="34"/>
  <c r="O139" i="34"/>
  <c r="I138" i="34"/>
  <c r="F138" i="34"/>
  <c r="O137" i="34"/>
  <c r="O136" i="34"/>
  <c r="O135" i="34"/>
  <c r="F132" i="34"/>
  <c r="A130" i="34"/>
  <c r="A132" i="34" s="1"/>
  <c r="A134" i="34" s="1"/>
  <c r="A138" i="34" s="1"/>
  <c r="A141" i="34" s="1"/>
  <c r="A143" i="34" s="1"/>
  <c r="A145" i="34" s="1"/>
  <c r="A148" i="34" s="1"/>
  <c r="A151" i="34" s="1"/>
  <c r="A155" i="34" s="1"/>
  <c r="A158" i="34" s="1"/>
  <c r="A160" i="34" s="1"/>
  <c r="A162" i="34" s="1"/>
  <c r="F128" i="34"/>
  <c r="P125" i="34"/>
  <c r="E124" i="34"/>
  <c r="O125" i="34" s="1"/>
  <c r="E122" i="34"/>
  <c r="O123" i="34" s="1"/>
  <c r="O121" i="34"/>
  <c r="F116" i="34"/>
  <c r="E116" i="34"/>
  <c r="O119" i="34" s="1"/>
  <c r="F114" i="34"/>
  <c r="A114" i="34"/>
  <c r="A116" i="34" s="1"/>
  <c r="A120" i="34" s="1"/>
  <c r="A122" i="34" s="1"/>
  <c r="A124" i="34" s="1"/>
  <c r="F112" i="34"/>
  <c r="E112" i="34"/>
  <c r="U111" i="34"/>
  <c r="O110" i="34"/>
  <c r="I109" i="34"/>
  <c r="F109" i="34"/>
  <c r="N108" i="34"/>
  <c r="N107" i="34"/>
  <c r="O107" i="34" s="1"/>
  <c r="I106" i="34"/>
  <c r="F106" i="34"/>
  <c r="I104" i="34"/>
  <c r="F104" i="34"/>
  <c r="E104" i="34"/>
  <c r="O105" i="34" s="1"/>
  <c r="O103" i="34"/>
  <c r="O101" i="34"/>
  <c r="N99" i="34"/>
  <c r="I98" i="34"/>
  <c r="F98" i="34"/>
  <c r="E98" i="34"/>
  <c r="P97" i="34"/>
  <c r="N97" i="34"/>
  <c r="O97" i="34" s="1"/>
  <c r="P96" i="34"/>
  <c r="O96" i="34"/>
  <c r="I95" i="34"/>
  <c r="F95" i="34"/>
  <c r="O94" i="34"/>
  <c r="O93" i="34"/>
  <c r="O92" i="34"/>
  <c r="I91" i="34"/>
  <c r="F91" i="34"/>
  <c r="P89" i="34"/>
  <c r="I88" i="34"/>
  <c r="F88" i="34"/>
  <c r="E88" i="34"/>
  <c r="O89" i="34" s="1"/>
  <c r="P86" i="34"/>
  <c r="I85" i="34"/>
  <c r="F85" i="34"/>
  <c r="E85" i="34"/>
  <c r="O87" i="34" s="1"/>
  <c r="O84" i="34"/>
  <c r="I83" i="34"/>
  <c r="P82" i="34"/>
  <c r="O82" i="34"/>
  <c r="O80" i="34"/>
  <c r="O79" i="34"/>
  <c r="I78" i="34"/>
  <c r="F78" i="34"/>
  <c r="O77" i="34"/>
  <c r="O76" i="34"/>
  <c r="O75" i="34"/>
  <c r="F72" i="34"/>
  <c r="F70" i="34"/>
  <c r="F68" i="34"/>
  <c r="O67" i="34"/>
  <c r="P65" i="34"/>
  <c r="O65" i="34"/>
  <c r="O64" i="34"/>
  <c r="I63" i="34"/>
  <c r="F63" i="34"/>
  <c r="O62" i="34"/>
  <c r="O61" i="34"/>
  <c r="E56" i="34"/>
  <c r="O57" i="34" s="1"/>
  <c r="O55" i="34"/>
  <c r="E50" i="34"/>
  <c r="O51" i="34" s="1"/>
  <c r="O49" i="34"/>
  <c r="E44" i="34"/>
  <c r="O45" i="34" s="1"/>
  <c r="O43" i="34"/>
  <c r="U38" i="34"/>
  <c r="I38" i="34"/>
  <c r="F38" i="34"/>
  <c r="Q37" i="34"/>
  <c r="R37" i="34" s="1"/>
  <c r="O37" i="34"/>
  <c r="E34" i="34"/>
  <c r="I32" i="34"/>
  <c r="F32" i="34"/>
  <c r="F30" i="34"/>
  <c r="F28" i="34"/>
  <c r="F26" i="34"/>
  <c r="A26" i="34"/>
  <c r="A28" i="34" s="1"/>
  <c r="A30" i="34" s="1"/>
  <c r="A32" i="34" s="1"/>
  <c r="I24" i="34"/>
  <c r="F24" i="34"/>
  <c r="I22" i="34"/>
  <c r="F22" i="34"/>
  <c r="O212" i="34" l="1"/>
  <c r="O59" i="34"/>
  <c r="O211" i="34"/>
  <c r="O53" i="34"/>
  <c r="O58" i="34"/>
  <c r="O117" i="34"/>
  <c r="O118" i="34"/>
  <c r="O52" i="34"/>
  <c r="O99" i="34"/>
  <c r="U36" i="34"/>
  <c r="O146" i="34"/>
  <c r="O288" i="34"/>
  <c r="O289" i="34"/>
  <c r="O150" i="34"/>
  <c r="O241" i="34"/>
  <c r="O250" i="34"/>
  <c r="A38" i="34"/>
  <c r="A34" i="34"/>
  <c r="A36" i="34" s="1"/>
  <c r="O47" i="34"/>
  <c r="O46" i="34"/>
  <c r="A168" i="34"/>
  <c r="A170" i="34" s="1"/>
  <c r="A173" i="34" s="1"/>
  <c r="A164" i="34"/>
  <c r="A166" i="34" s="1"/>
  <c r="O90" i="34"/>
  <c r="O108" i="34"/>
  <c r="E114" i="34"/>
  <c r="O86" i="34"/>
  <c r="O159" i="34"/>
  <c r="O172" i="34"/>
  <c r="O169" i="34"/>
  <c r="O198" i="34"/>
  <c r="O181" i="34"/>
  <c r="O182" i="34"/>
  <c r="O196" i="34"/>
  <c r="O197" i="34"/>
  <c r="O260" i="34"/>
  <c r="O273" i="34"/>
  <c r="O274" i="34"/>
  <c r="A48" i="34" l="1"/>
  <c r="A50" i="34" s="1"/>
  <c r="A54" i="34" s="1"/>
  <c r="A56" i="34" s="1"/>
  <c r="A60" i="34" s="1"/>
  <c r="A63" i="34" s="1"/>
  <c r="A66" i="34" s="1"/>
  <c r="A68" i="34" s="1"/>
  <c r="A70" i="34" s="1"/>
  <c r="A72" i="34" s="1"/>
  <c r="A74" i="34" s="1"/>
  <c r="A78" i="34" s="1"/>
  <c r="A81" i="34" s="1"/>
  <c r="A83" i="34" s="1"/>
  <c r="A85" i="34" s="1"/>
  <c r="A88" i="34" s="1"/>
  <c r="A91" i="34" s="1"/>
  <c r="A95" i="34" s="1"/>
  <c r="A98" i="34" s="1"/>
  <c r="A100" i="34" s="1"/>
  <c r="A102" i="34" s="1"/>
  <c r="A104" i="34" s="1"/>
  <c r="A106" i="34" s="1"/>
  <c r="A109" i="34" s="1"/>
  <c r="A40" i="34"/>
  <c r="A42" i="34" s="1"/>
  <c r="A44" i="34" s="1"/>
  <c r="A41" i="12" l="1"/>
  <c r="W4" i="34" l="1"/>
  <c r="W4" i="33" l="1"/>
  <c r="D20" i="12" l="1"/>
  <c r="E20" i="12"/>
  <c r="F20" i="12"/>
  <c r="V14" i="34" l="1"/>
  <c r="Q13" i="34"/>
  <c r="J13" i="34"/>
  <c r="N11" i="34"/>
  <c r="D11" i="34"/>
  <c r="U14" i="34" s="1"/>
  <c r="P9" i="34"/>
  <c r="A1" i="34"/>
  <c r="Q293" i="34" l="1"/>
  <c r="R293" i="34" s="1"/>
  <c r="U292" i="34" s="1"/>
  <c r="Q289" i="34"/>
  <c r="Q288" i="34"/>
  <c r="Q265" i="34"/>
  <c r="R265" i="34" s="1"/>
  <c r="U264" i="34" s="1"/>
  <c r="Q287" i="34"/>
  <c r="Q276" i="34"/>
  <c r="Q262" i="34"/>
  <c r="Q256" i="34"/>
  <c r="R256" i="34" s="1"/>
  <c r="U255" i="34" s="1"/>
  <c r="Q280" i="34"/>
  <c r="R280" i="34" s="1"/>
  <c r="U279" i="34" s="1"/>
  <c r="Q278" i="34"/>
  <c r="R278" i="34" s="1"/>
  <c r="U277" i="34" s="1"/>
  <c r="Q274" i="34"/>
  <c r="Q273" i="34"/>
  <c r="Q260" i="34"/>
  <c r="R260" i="34" s="1"/>
  <c r="U259" i="34" s="1"/>
  <c r="Q291" i="34"/>
  <c r="Q272" i="34"/>
  <c r="Q258" i="34"/>
  <c r="R258" i="34" s="1"/>
  <c r="U257" i="34" s="1"/>
  <c r="Q254" i="34"/>
  <c r="R254" i="34" s="1"/>
  <c r="U253" i="34" s="1"/>
  <c r="Q252" i="34"/>
  <c r="R252" i="34" s="1"/>
  <c r="U251" i="34" s="1"/>
  <c r="Q244" i="34"/>
  <c r="Q241" i="34"/>
  <c r="Q211" i="34"/>
  <c r="Q200" i="34"/>
  <c r="Q250" i="34"/>
  <c r="R250" i="34" s="1"/>
  <c r="U249" i="34" s="1"/>
  <c r="Q234" i="34"/>
  <c r="Q231" i="34"/>
  <c r="Q230" i="34"/>
  <c r="Q245" i="34"/>
  <c r="Q236" i="34"/>
  <c r="R236" i="34" s="1"/>
  <c r="Q233" i="34"/>
  <c r="Q229" i="34"/>
  <c r="Q243" i="34"/>
  <c r="Q240" i="34"/>
  <c r="Q238" i="34"/>
  <c r="R238" i="34" s="1"/>
  <c r="U237" i="34" s="1"/>
  <c r="Q217" i="34"/>
  <c r="R217" i="34" s="1"/>
  <c r="U216" i="34" s="1"/>
  <c r="Q213" i="34"/>
  <c r="Q212" i="34"/>
  <c r="Q187" i="34"/>
  <c r="R187" i="34" s="1"/>
  <c r="U186" i="34" s="1"/>
  <c r="Q215" i="34"/>
  <c r="Q182" i="34"/>
  <c r="Q181" i="34"/>
  <c r="Q171" i="34"/>
  <c r="Q204" i="34"/>
  <c r="R204" i="34" s="1"/>
  <c r="U203" i="34" s="1"/>
  <c r="Q198" i="34"/>
  <c r="Q183" i="34"/>
  <c r="Q169" i="34"/>
  <c r="R169" i="34" s="1"/>
  <c r="U168" i="34" s="1"/>
  <c r="Q165" i="34"/>
  <c r="R165" i="34" s="1"/>
  <c r="U164" i="34" s="1"/>
  <c r="Q202" i="34"/>
  <c r="R202" i="34" s="1"/>
  <c r="U201" i="34" s="1"/>
  <c r="Q196" i="34"/>
  <c r="Q167" i="34"/>
  <c r="R167" i="34" s="1"/>
  <c r="U166" i="34" s="1"/>
  <c r="Q146" i="34"/>
  <c r="Q197" i="34"/>
  <c r="Q185" i="34"/>
  <c r="Q174" i="34"/>
  <c r="R174" i="34" s="1"/>
  <c r="U173" i="34" s="1"/>
  <c r="Q163" i="34"/>
  <c r="R163" i="34" s="1"/>
  <c r="U162" i="34" s="1"/>
  <c r="Q154" i="34"/>
  <c r="Q153" i="34"/>
  <c r="Q150" i="34"/>
  <c r="Q139" i="34"/>
  <c r="Q135" i="34"/>
  <c r="Q123" i="34"/>
  <c r="R123" i="34" s="1"/>
  <c r="U122" i="34" s="1"/>
  <c r="Q119" i="34"/>
  <c r="Q118" i="34"/>
  <c r="Q105" i="34"/>
  <c r="R105" i="34" s="1"/>
  <c r="U104" i="34" s="1"/>
  <c r="Q144" i="34"/>
  <c r="R144" i="34" s="1"/>
  <c r="U143" i="34" s="1"/>
  <c r="Q140" i="34"/>
  <c r="Q137" i="34"/>
  <c r="Q136" i="34"/>
  <c r="Q121" i="34"/>
  <c r="Q101" i="34"/>
  <c r="R101" i="34" s="1"/>
  <c r="U100" i="34" s="1"/>
  <c r="Q80" i="34"/>
  <c r="Q161" i="34"/>
  <c r="R161" i="34" s="1"/>
  <c r="U160" i="34" s="1"/>
  <c r="Q147" i="34"/>
  <c r="Q117" i="34"/>
  <c r="Q103" i="34"/>
  <c r="R103" i="34" s="1"/>
  <c r="U102" i="34" s="1"/>
  <c r="Q97" i="34"/>
  <c r="Q82" i="34"/>
  <c r="R82" i="34" s="1"/>
  <c r="Q110" i="34"/>
  <c r="R110" i="34" s="1"/>
  <c r="U109" i="34" s="1"/>
  <c r="Q96" i="34"/>
  <c r="Q93" i="34"/>
  <c r="Q92" i="34"/>
  <c r="Q90" i="34"/>
  <c r="Q89" i="34"/>
  <c r="Q84" i="34"/>
  <c r="R84" i="34" s="1"/>
  <c r="U83" i="34" s="1"/>
  <c r="Q152" i="34"/>
  <c r="Q94" i="34"/>
  <c r="Q87" i="34"/>
  <c r="Q64" i="34"/>
  <c r="Q61" i="34"/>
  <c r="Q45" i="34"/>
  <c r="Q79" i="34"/>
  <c r="Q77" i="34"/>
  <c r="Q59" i="34"/>
  <c r="Q52" i="34"/>
  <c r="Q51" i="34"/>
  <c r="Q46" i="34"/>
  <c r="Q53" i="34"/>
  <c r="Q47" i="34"/>
  <c r="Q62" i="34"/>
  <c r="Q76" i="34"/>
  <c r="Q75" i="34"/>
  <c r="Q67" i="34"/>
  <c r="R67" i="34" s="1"/>
  <c r="U66" i="34" s="1"/>
  <c r="Q58" i="34"/>
  <c r="Q57" i="34"/>
  <c r="Q55" i="34"/>
  <c r="R55" i="34" s="1"/>
  <c r="U54" i="34" s="1"/>
  <c r="Q49" i="34"/>
  <c r="R49" i="34" s="1"/>
  <c r="U48" i="34" s="1"/>
  <c r="Q43" i="34"/>
  <c r="R43" i="34" s="1"/>
  <c r="U42" i="34" s="1"/>
  <c r="Q219" i="34"/>
  <c r="R219" i="34" s="1"/>
  <c r="U218" i="34" s="1"/>
  <c r="Q159" i="34"/>
  <c r="R159" i="34" s="1"/>
  <c r="U158" i="34" s="1"/>
  <c r="Q65" i="34"/>
  <c r="Q99" i="34"/>
  <c r="R99" i="34" s="1"/>
  <c r="U98" i="34" s="1"/>
  <c r="Q172" i="34"/>
  <c r="Q247" i="34"/>
  <c r="Q295" i="34"/>
  <c r="R295" i="34" s="1"/>
  <c r="U294" i="34" s="1"/>
  <c r="Q86" i="34"/>
  <c r="Q149" i="34"/>
  <c r="Q107" i="34"/>
  <c r="Q156" i="34"/>
  <c r="Q142" i="34"/>
  <c r="R142" i="34" s="1"/>
  <c r="Q189" i="34"/>
  <c r="R189" i="34" s="1"/>
  <c r="U188" i="34" s="1"/>
  <c r="Q108" i="34"/>
  <c r="Q157" i="34"/>
  <c r="Q125" i="34"/>
  <c r="R125" i="34" s="1"/>
  <c r="U124" i="34" s="1"/>
  <c r="Q263" i="34"/>
  <c r="Q248" i="34"/>
  <c r="F295" i="34"/>
  <c r="F287" i="34"/>
  <c r="F276" i="34"/>
  <c r="F256" i="34"/>
  <c r="F278" i="34"/>
  <c r="F291" i="34"/>
  <c r="F280" i="34"/>
  <c r="F270" i="34"/>
  <c r="R269" i="34" s="1"/>
  <c r="S269" i="34" s="1"/>
  <c r="T269" i="34" s="1"/>
  <c r="F268" i="34"/>
  <c r="F258" i="34"/>
  <c r="F293" i="34"/>
  <c r="F254" i="34"/>
  <c r="F252" i="34"/>
  <c r="F202" i="34"/>
  <c r="F229" i="34"/>
  <c r="F238" i="34"/>
  <c r="F223" i="34"/>
  <c r="F217" i="34"/>
  <c r="F219" i="34"/>
  <c r="F200" i="34"/>
  <c r="F189" i="34"/>
  <c r="F165" i="34"/>
  <c r="F192" i="34"/>
  <c r="F185" i="34"/>
  <c r="F179" i="34"/>
  <c r="R178" i="34" s="1"/>
  <c r="S178" i="34" s="1"/>
  <c r="T178" i="34" s="1"/>
  <c r="F177" i="34"/>
  <c r="F215" i="34"/>
  <c r="F194" i="34"/>
  <c r="R193" i="34" s="1"/>
  <c r="S193" i="34" s="1"/>
  <c r="T193" i="34" s="1"/>
  <c r="F187" i="34"/>
  <c r="F167" i="34"/>
  <c r="F163" i="34"/>
  <c r="F204" i="34"/>
  <c r="F196" i="34"/>
  <c r="F144" i="34"/>
  <c r="F125" i="34"/>
  <c r="F103" i="34"/>
  <c r="F131" i="34"/>
  <c r="F110" i="34"/>
  <c r="F92" i="34"/>
  <c r="F149" i="34"/>
  <c r="F89" i="34"/>
  <c r="F84" i="34"/>
  <c r="F161" i="34"/>
  <c r="F135" i="34"/>
  <c r="F133" i="34"/>
  <c r="F123" i="34"/>
  <c r="F121" i="34"/>
  <c r="F101" i="34"/>
  <c r="F67" i="34"/>
  <c r="F55" i="34"/>
  <c r="F75" i="34"/>
  <c r="F64" i="34"/>
  <c r="F61" i="34"/>
  <c r="F57" i="34"/>
  <c r="F49" i="34"/>
  <c r="F39" i="34"/>
  <c r="F79" i="34"/>
  <c r="F69" i="34"/>
  <c r="F51" i="34"/>
  <c r="F45" i="34"/>
  <c r="F43" i="34"/>
  <c r="F37" i="34"/>
  <c r="F33" i="34"/>
  <c r="F29" i="34"/>
  <c r="F25" i="34"/>
  <c r="F71" i="34"/>
  <c r="F139" i="34"/>
  <c r="F129" i="34"/>
  <c r="F171" i="34"/>
  <c r="F227" i="34"/>
  <c r="F283" i="34"/>
  <c r="F23" i="34"/>
  <c r="F73" i="34"/>
  <c r="F86" i="34"/>
  <c r="F115" i="34"/>
  <c r="R114" i="34" s="1"/>
  <c r="S114" i="34" s="1"/>
  <c r="T114" i="34" s="1"/>
  <c r="F117" i="34"/>
  <c r="F169" i="34"/>
  <c r="F113" i="34"/>
  <c r="F159" i="34"/>
  <c r="F211" i="34"/>
  <c r="F233" i="34"/>
  <c r="F99" i="34"/>
  <c r="F96" i="34"/>
  <c r="F105" i="34"/>
  <c r="F250" i="34"/>
  <c r="F247" i="34"/>
  <c r="F265" i="34"/>
  <c r="F272" i="34"/>
  <c r="F31" i="34"/>
  <c r="F107" i="34"/>
  <c r="F27" i="34"/>
  <c r="R26" i="34" s="1"/>
  <c r="S26" i="34" s="1"/>
  <c r="T26" i="34" s="1"/>
  <c r="F152" i="34"/>
  <c r="F174" i="34"/>
  <c r="F181" i="34"/>
  <c r="F146" i="34"/>
  <c r="F240" i="34"/>
  <c r="F209" i="34"/>
  <c r="R208" i="34" s="1"/>
  <c r="S208" i="34" s="1"/>
  <c r="T208" i="34" s="1"/>
  <c r="F207" i="34"/>
  <c r="F285" i="34"/>
  <c r="R284" i="34" s="1"/>
  <c r="S284" i="34" s="1"/>
  <c r="T284" i="34" s="1"/>
  <c r="F156" i="34"/>
  <c r="F243" i="34"/>
  <c r="F225" i="34"/>
  <c r="F262" i="34"/>
  <c r="F260" i="34"/>
  <c r="I278" i="34"/>
  <c r="I291" i="34"/>
  <c r="I280" i="34"/>
  <c r="I272" i="34"/>
  <c r="I268" i="34"/>
  <c r="I258" i="34"/>
  <c r="I293" i="34"/>
  <c r="I254" i="34"/>
  <c r="I295" i="34"/>
  <c r="I287" i="34"/>
  <c r="I283" i="34"/>
  <c r="I276" i="34"/>
  <c r="I256" i="34"/>
  <c r="I229" i="34"/>
  <c r="I215" i="34"/>
  <c r="I204" i="34"/>
  <c r="I196" i="34"/>
  <c r="I192" i="34"/>
  <c r="I223" i="34"/>
  <c r="I217" i="34"/>
  <c r="I225" i="34"/>
  <c r="I219" i="34"/>
  <c r="I252" i="34"/>
  <c r="I227" i="34"/>
  <c r="I202" i="34"/>
  <c r="I181" i="34"/>
  <c r="I200" i="34"/>
  <c r="I185" i="34"/>
  <c r="I177" i="34"/>
  <c r="I187" i="34"/>
  <c r="I167" i="34"/>
  <c r="I207" i="34"/>
  <c r="I189" i="34"/>
  <c r="I211" i="34"/>
  <c r="I165" i="34"/>
  <c r="I161" i="34"/>
  <c r="I131" i="34"/>
  <c r="I107" i="34"/>
  <c r="I105" i="34"/>
  <c r="I135" i="34"/>
  <c r="I133" i="34"/>
  <c r="I123" i="34"/>
  <c r="I121" i="34"/>
  <c r="I101" i="34"/>
  <c r="I163" i="34"/>
  <c r="I129" i="34"/>
  <c r="I125" i="34"/>
  <c r="I117" i="34"/>
  <c r="I113" i="34"/>
  <c r="I103" i="34"/>
  <c r="I75" i="34"/>
  <c r="I57" i="34"/>
  <c r="I49" i="34"/>
  <c r="I41" i="34"/>
  <c r="R40" i="34" s="1"/>
  <c r="S40" i="34" s="1"/>
  <c r="T40" i="34" s="1"/>
  <c r="I35" i="34"/>
  <c r="R34" i="34" s="1"/>
  <c r="S34" i="34" s="1"/>
  <c r="T34" i="34" s="1"/>
  <c r="I61" i="34"/>
  <c r="I73" i="34"/>
  <c r="I71" i="34"/>
  <c r="I69" i="34"/>
  <c r="I67" i="34"/>
  <c r="I55" i="34"/>
  <c r="I51" i="34"/>
  <c r="I45" i="34"/>
  <c r="I43" i="34"/>
  <c r="I37" i="34"/>
  <c r="I31" i="34"/>
  <c r="I29" i="34"/>
  <c r="I23" i="34"/>
  <c r="I39" i="34"/>
  <c r="I89" i="34"/>
  <c r="I110" i="34"/>
  <c r="I149" i="34"/>
  <c r="I139" i="34"/>
  <c r="I79" i="34"/>
  <c r="I144" i="34"/>
  <c r="I96" i="34"/>
  <c r="I152" i="34"/>
  <c r="I240" i="34"/>
  <c r="I262" i="34"/>
  <c r="I265" i="34"/>
  <c r="I250" i="34"/>
  <c r="I25" i="34"/>
  <c r="I64" i="34"/>
  <c r="I84" i="34"/>
  <c r="I146" i="34"/>
  <c r="I156" i="34"/>
  <c r="I171" i="34"/>
  <c r="I174" i="34"/>
  <c r="I169" i="34"/>
  <c r="I233" i="34"/>
  <c r="I260" i="34"/>
  <c r="I33" i="34"/>
  <c r="I86" i="34"/>
  <c r="I159" i="34"/>
  <c r="I92" i="34"/>
  <c r="I247" i="34"/>
  <c r="I243" i="34"/>
  <c r="I99" i="34"/>
  <c r="I238" i="34"/>
  <c r="V280" i="34"/>
  <c r="W280" i="34" s="1"/>
  <c r="V278" i="34"/>
  <c r="W278" i="34" s="1"/>
  <c r="V268" i="34"/>
  <c r="W268" i="34" s="1"/>
  <c r="V260" i="34"/>
  <c r="W260" i="34" s="1"/>
  <c r="V252" i="34"/>
  <c r="W252" i="34" s="1"/>
  <c r="V245" i="34"/>
  <c r="W245" i="34" s="1"/>
  <c r="V244" i="34"/>
  <c r="W244" i="34" s="1"/>
  <c r="V243" i="34"/>
  <c r="W243" i="34" s="1"/>
  <c r="V241" i="34"/>
  <c r="W241" i="34" s="1"/>
  <c r="V240" i="34"/>
  <c r="W240" i="34" s="1"/>
  <c r="V291" i="34"/>
  <c r="W291" i="34" s="1"/>
  <c r="V281" i="34"/>
  <c r="W281" i="34" s="1"/>
  <c r="V274" i="34"/>
  <c r="W274" i="34" s="1"/>
  <c r="V273" i="34"/>
  <c r="W273" i="34" s="1"/>
  <c r="V272" i="34"/>
  <c r="W272" i="34" s="1"/>
  <c r="V270" i="34"/>
  <c r="W270" i="34" s="1"/>
  <c r="V258" i="34"/>
  <c r="W258" i="34" s="1"/>
  <c r="V254" i="34"/>
  <c r="W254" i="34" s="1"/>
  <c r="V296" i="34"/>
  <c r="V295" i="34"/>
  <c r="W295" i="34" s="1"/>
  <c r="V293" i="34"/>
  <c r="W293" i="34" s="1"/>
  <c r="V283" i="34"/>
  <c r="W283" i="34" s="1"/>
  <c r="V265" i="34"/>
  <c r="W265" i="34" s="1"/>
  <c r="V263" i="34"/>
  <c r="W263" i="34" s="1"/>
  <c r="V289" i="34"/>
  <c r="W289" i="34" s="1"/>
  <c r="V288" i="34"/>
  <c r="W288" i="34" s="1"/>
  <c r="V287" i="34"/>
  <c r="W287" i="34" s="1"/>
  <c r="V285" i="34"/>
  <c r="W285" i="34" s="1"/>
  <c r="V276" i="34"/>
  <c r="W276" i="34" s="1"/>
  <c r="V266" i="34"/>
  <c r="W266" i="34" s="1"/>
  <c r="V262" i="34"/>
  <c r="W262" i="34" s="1"/>
  <c r="V256" i="34"/>
  <c r="W256" i="34" s="1"/>
  <c r="V250" i="34"/>
  <c r="W250" i="34" s="1"/>
  <c r="V247" i="34"/>
  <c r="W247" i="34" s="1"/>
  <c r="V236" i="34"/>
  <c r="W236" i="34" s="1"/>
  <c r="V234" i="34"/>
  <c r="W234" i="34" s="1"/>
  <c r="V233" i="34"/>
  <c r="W233" i="34" s="1"/>
  <c r="V231" i="34"/>
  <c r="W231" i="34" s="1"/>
  <c r="V230" i="34"/>
  <c r="W230" i="34" s="1"/>
  <c r="V229" i="34"/>
  <c r="W229" i="34" s="1"/>
  <c r="V223" i="34"/>
  <c r="W223" i="34" s="1"/>
  <c r="V215" i="34"/>
  <c r="W215" i="34" s="1"/>
  <c r="V205" i="34"/>
  <c r="W205" i="34" s="1"/>
  <c r="V198" i="34"/>
  <c r="W198" i="34" s="1"/>
  <c r="V197" i="34"/>
  <c r="W197" i="34" s="1"/>
  <c r="V196" i="34"/>
  <c r="W196" i="34" s="1"/>
  <c r="V194" i="34"/>
  <c r="W194" i="34" s="1"/>
  <c r="V238" i="34"/>
  <c r="W238" i="34" s="1"/>
  <c r="V225" i="34"/>
  <c r="W225" i="34" s="1"/>
  <c r="V220" i="34"/>
  <c r="V219" i="34"/>
  <c r="W219" i="34" s="1"/>
  <c r="V217" i="34"/>
  <c r="W217" i="34" s="1"/>
  <c r="V227" i="34"/>
  <c r="W227" i="34" s="1"/>
  <c r="V221" i="34"/>
  <c r="W221" i="34" s="1"/>
  <c r="V248" i="34"/>
  <c r="W248" i="34" s="1"/>
  <c r="V204" i="34"/>
  <c r="W204" i="34" s="1"/>
  <c r="V202" i="34"/>
  <c r="W202" i="34" s="1"/>
  <c r="V192" i="34"/>
  <c r="W192" i="34" s="1"/>
  <c r="V183" i="34"/>
  <c r="W183" i="34" s="1"/>
  <c r="V182" i="34"/>
  <c r="W182" i="34" s="1"/>
  <c r="V181" i="34"/>
  <c r="W181" i="34" s="1"/>
  <c r="V190" i="34"/>
  <c r="W190" i="34" s="1"/>
  <c r="V179" i="34"/>
  <c r="W179" i="34" s="1"/>
  <c r="V167" i="34"/>
  <c r="W167" i="34" s="1"/>
  <c r="V211" i="34"/>
  <c r="W211" i="34" s="1"/>
  <c r="V207" i="34"/>
  <c r="W207" i="34" s="1"/>
  <c r="V185" i="34"/>
  <c r="W185" i="34" s="1"/>
  <c r="V174" i="34"/>
  <c r="W174" i="34" s="1"/>
  <c r="V172" i="34"/>
  <c r="W172" i="34" s="1"/>
  <c r="V212" i="34"/>
  <c r="W212" i="34" s="1"/>
  <c r="V200" i="34"/>
  <c r="W200" i="34" s="1"/>
  <c r="V189" i="34"/>
  <c r="W189" i="34" s="1"/>
  <c r="V175" i="34"/>
  <c r="W175" i="34" s="1"/>
  <c r="V171" i="34"/>
  <c r="W171" i="34" s="1"/>
  <c r="V154" i="34"/>
  <c r="W154" i="34" s="1"/>
  <c r="V153" i="34"/>
  <c r="W153" i="34" s="1"/>
  <c r="V152" i="34"/>
  <c r="W152" i="34" s="1"/>
  <c r="V150" i="34"/>
  <c r="W150" i="34" s="1"/>
  <c r="V149" i="34"/>
  <c r="W149" i="34" s="1"/>
  <c r="V144" i="34"/>
  <c r="W144" i="34" s="1"/>
  <c r="V213" i="34"/>
  <c r="W213" i="34" s="1"/>
  <c r="V209" i="34"/>
  <c r="W209" i="34" s="1"/>
  <c r="V187" i="34"/>
  <c r="W187" i="34" s="1"/>
  <c r="V177" i="34"/>
  <c r="W177" i="34" s="1"/>
  <c r="V169" i="34"/>
  <c r="W169" i="34" s="1"/>
  <c r="V165" i="34"/>
  <c r="W165" i="34" s="1"/>
  <c r="V161" i="34"/>
  <c r="W161" i="34" s="1"/>
  <c r="V157" i="34"/>
  <c r="W157" i="34" s="1"/>
  <c r="V133" i="34"/>
  <c r="W133" i="34" s="1"/>
  <c r="V110" i="34"/>
  <c r="W110" i="34" s="1"/>
  <c r="V108" i="34"/>
  <c r="W108" i="34" s="1"/>
  <c r="V94" i="34"/>
  <c r="W94" i="34" s="1"/>
  <c r="V93" i="34"/>
  <c r="W93" i="34" s="1"/>
  <c r="V92" i="34"/>
  <c r="W92" i="34" s="1"/>
  <c r="V90" i="34"/>
  <c r="W90" i="34" s="1"/>
  <c r="V89" i="34"/>
  <c r="W89" i="34" s="1"/>
  <c r="V159" i="34"/>
  <c r="W159" i="34" s="1"/>
  <c r="V156" i="34"/>
  <c r="W156" i="34" s="1"/>
  <c r="V147" i="34"/>
  <c r="W147" i="34" s="1"/>
  <c r="V126" i="34"/>
  <c r="V117" i="34"/>
  <c r="W117" i="34" s="1"/>
  <c r="V103" i="34"/>
  <c r="W103" i="34" s="1"/>
  <c r="V97" i="34"/>
  <c r="W97" i="34" s="1"/>
  <c r="V84" i="34"/>
  <c r="W84" i="34" s="1"/>
  <c r="V163" i="34"/>
  <c r="W163" i="34" s="1"/>
  <c r="V118" i="34"/>
  <c r="W118" i="34" s="1"/>
  <c r="V115" i="34"/>
  <c r="W115" i="34" s="1"/>
  <c r="V107" i="34"/>
  <c r="W107" i="34" s="1"/>
  <c r="V96" i="34"/>
  <c r="W96" i="34" s="1"/>
  <c r="V142" i="34"/>
  <c r="W142" i="34" s="1"/>
  <c r="V129" i="34"/>
  <c r="W129" i="34" s="1"/>
  <c r="V127" i="34"/>
  <c r="W127" i="34" s="1"/>
  <c r="V121" i="34"/>
  <c r="W121" i="34" s="1"/>
  <c r="V119" i="34"/>
  <c r="W119" i="34" s="1"/>
  <c r="V113" i="34"/>
  <c r="W113" i="34" s="1"/>
  <c r="V111" i="34"/>
  <c r="W111" i="34" s="1"/>
  <c r="V105" i="34"/>
  <c r="W105" i="34" s="1"/>
  <c r="V101" i="34"/>
  <c r="W101" i="34" s="1"/>
  <c r="V99" i="34"/>
  <c r="W99" i="34" s="1"/>
  <c r="V87" i="34"/>
  <c r="W87" i="34" s="1"/>
  <c r="V86" i="34"/>
  <c r="W86" i="34" s="1"/>
  <c r="V146" i="34"/>
  <c r="W146" i="34" s="1"/>
  <c r="V140" i="34"/>
  <c r="W140" i="34" s="1"/>
  <c r="V139" i="34"/>
  <c r="W139" i="34" s="1"/>
  <c r="V137" i="34"/>
  <c r="W137" i="34" s="1"/>
  <c r="V136" i="34"/>
  <c r="W136" i="34" s="1"/>
  <c r="V135" i="34"/>
  <c r="W135" i="34" s="1"/>
  <c r="V131" i="34"/>
  <c r="W131" i="34" s="1"/>
  <c r="V125" i="34"/>
  <c r="W125" i="34" s="1"/>
  <c r="V123" i="34"/>
  <c r="W123" i="34" s="1"/>
  <c r="V82" i="34"/>
  <c r="W82" i="34" s="1"/>
  <c r="V80" i="34"/>
  <c r="W80" i="34" s="1"/>
  <c r="V79" i="34"/>
  <c r="W79" i="34" s="1"/>
  <c r="V77" i="34"/>
  <c r="W77" i="34" s="1"/>
  <c r="V76" i="34"/>
  <c r="W76" i="34" s="1"/>
  <c r="V75" i="34"/>
  <c r="W75" i="34" s="1"/>
  <c r="V69" i="34"/>
  <c r="W69" i="34" s="1"/>
  <c r="V59" i="34"/>
  <c r="W59" i="34" s="1"/>
  <c r="V58" i="34"/>
  <c r="W58" i="34" s="1"/>
  <c r="V57" i="34"/>
  <c r="W57" i="34" s="1"/>
  <c r="V49" i="34"/>
  <c r="W49" i="34" s="1"/>
  <c r="V39" i="34"/>
  <c r="W39" i="34" s="1"/>
  <c r="V29" i="34"/>
  <c r="W29" i="34" s="1"/>
  <c r="V23" i="34"/>
  <c r="W23" i="34" s="1"/>
  <c r="V73" i="34"/>
  <c r="W73" i="34" s="1"/>
  <c r="V71" i="34"/>
  <c r="W71" i="34" s="1"/>
  <c r="V65" i="34"/>
  <c r="W65" i="34" s="1"/>
  <c r="V53" i="34"/>
  <c r="W53" i="34" s="1"/>
  <c r="V47" i="34"/>
  <c r="W47" i="34" s="1"/>
  <c r="V33" i="34"/>
  <c r="W33" i="34" s="1"/>
  <c r="V21" i="34"/>
  <c r="W21" i="34" s="1"/>
  <c r="V64" i="34"/>
  <c r="W64" i="34" s="1"/>
  <c r="V62" i="34"/>
  <c r="W62" i="34" s="1"/>
  <c r="V61" i="34"/>
  <c r="W61" i="34" s="1"/>
  <c r="V43" i="34"/>
  <c r="W43" i="34" s="1"/>
  <c r="V41" i="34"/>
  <c r="W41" i="34" s="1"/>
  <c r="V37" i="34"/>
  <c r="W37" i="34" s="1"/>
  <c r="V35" i="34"/>
  <c r="W35" i="34" s="1"/>
  <c r="V31" i="34"/>
  <c r="W31" i="34" s="1"/>
  <c r="V67" i="34"/>
  <c r="W67" i="34" s="1"/>
  <c r="V55" i="34"/>
  <c r="W55" i="34" s="1"/>
  <c r="V51" i="34"/>
  <c r="W51" i="34" s="1"/>
  <c r="V45" i="34"/>
  <c r="W45" i="34" s="1"/>
  <c r="V25" i="34"/>
  <c r="W25" i="34" s="1"/>
  <c r="V52" i="34"/>
  <c r="W52" i="34" s="1"/>
  <c r="V46" i="34"/>
  <c r="W46" i="34" s="1"/>
  <c r="V27" i="34"/>
  <c r="W27" i="34" s="1"/>
  <c r="R240" i="34" l="1"/>
  <c r="U239" i="34" s="1"/>
  <c r="R149" i="34"/>
  <c r="U148" i="34" s="1"/>
  <c r="R89" i="34"/>
  <c r="U88" i="34" s="1"/>
  <c r="R243" i="34"/>
  <c r="U242" i="34" s="1"/>
  <c r="V34" i="34"/>
  <c r="W34" i="34" s="1"/>
  <c r="V178" i="34"/>
  <c r="W178" i="34" s="1"/>
  <c r="R96" i="34"/>
  <c r="U95" i="34" s="1"/>
  <c r="R229" i="34"/>
  <c r="U228" i="34" s="1"/>
  <c r="R206" i="34"/>
  <c r="S206" i="34" s="1"/>
  <c r="R51" i="34"/>
  <c r="U50" i="34" s="1"/>
  <c r="V284" i="34"/>
  <c r="W284" i="34" s="1"/>
  <c r="V269" i="34"/>
  <c r="W269" i="34" s="1"/>
  <c r="R86" i="34"/>
  <c r="U85" i="34" s="1"/>
  <c r="R79" i="34"/>
  <c r="U78" i="34" s="1"/>
  <c r="V26" i="34"/>
  <c r="W26" i="34" s="1"/>
  <c r="V193" i="34"/>
  <c r="W193" i="34" s="1"/>
  <c r="V40" i="34"/>
  <c r="W40" i="34" s="1"/>
  <c r="V114" i="34"/>
  <c r="W114" i="34" s="1"/>
  <c r="V208" i="34"/>
  <c r="W208" i="34" s="1"/>
  <c r="R152" i="34"/>
  <c r="U151" i="34" s="1"/>
  <c r="R259" i="34"/>
  <c r="S259" i="34" s="1"/>
  <c r="R155" i="34"/>
  <c r="R239" i="34"/>
  <c r="R151" i="34"/>
  <c r="R271" i="34"/>
  <c r="R104" i="34"/>
  <c r="S104" i="34" s="1"/>
  <c r="R210" i="34"/>
  <c r="R116" i="34"/>
  <c r="R22" i="34"/>
  <c r="S22" i="34" s="1"/>
  <c r="R128" i="34"/>
  <c r="S128" i="34" s="1"/>
  <c r="R28" i="34"/>
  <c r="S28" i="34" s="1"/>
  <c r="R44" i="34"/>
  <c r="R38" i="34"/>
  <c r="S38" i="34" s="1"/>
  <c r="R63" i="34"/>
  <c r="R100" i="34"/>
  <c r="S100" i="34" s="1"/>
  <c r="R134" i="34"/>
  <c r="R148" i="34"/>
  <c r="R102" i="34"/>
  <c r="S102" i="34" s="1"/>
  <c r="R203" i="34"/>
  <c r="S203" i="34" s="1"/>
  <c r="R184" i="34"/>
  <c r="R199" i="34"/>
  <c r="R237" i="34"/>
  <c r="S237" i="34" s="1"/>
  <c r="R253" i="34"/>
  <c r="S253" i="34" s="1"/>
  <c r="R255" i="34"/>
  <c r="S255" i="34" s="1"/>
  <c r="R107" i="34"/>
  <c r="U106" i="34" s="1"/>
  <c r="R247" i="34"/>
  <c r="U246" i="34" s="1"/>
  <c r="R75" i="34"/>
  <c r="U74" i="34" s="1"/>
  <c r="R61" i="34"/>
  <c r="U60" i="34" s="1"/>
  <c r="R92" i="34"/>
  <c r="U91" i="34" s="1"/>
  <c r="S81" i="34"/>
  <c r="U81" i="34"/>
  <c r="U120" i="34"/>
  <c r="R121" i="34"/>
  <c r="R185" i="34"/>
  <c r="U184" i="34"/>
  <c r="R196" i="34"/>
  <c r="U195" i="34"/>
  <c r="R181" i="34"/>
  <c r="U180" i="34"/>
  <c r="S235" i="34"/>
  <c r="U235" i="34"/>
  <c r="R261" i="34"/>
  <c r="R145" i="34"/>
  <c r="R264" i="34"/>
  <c r="S264" i="34" s="1"/>
  <c r="R95" i="34"/>
  <c r="R158" i="34"/>
  <c r="S158" i="34" s="1"/>
  <c r="R282" i="34"/>
  <c r="S282" i="34" s="1"/>
  <c r="R138" i="34"/>
  <c r="R32" i="34"/>
  <c r="S32" i="34" s="1"/>
  <c r="R50" i="34"/>
  <c r="R48" i="34"/>
  <c r="S48" i="34" s="1"/>
  <c r="R74" i="34"/>
  <c r="R120" i="34"/>
  <c r="R160" i="34"/>
  <c r="S160" i="34" s="1"/>
  <c r="R91" i="34"/>
  <c r="R124" i="34"/>
  <c r="S124" i="34" s="1"/>
  <c r="R162" i="34"/>
  <c r="S162" i="34" s="1"/>
  <c r="R214" i="34"/>
  <c r="R191" i="34"/>
  <c r="S191" i="34" s="1"/>
  <c r="R218" i="34"/>
  <c r="S218" i="34" s="1"/>
  <c r="R228" i="34"/>
  <c r="R292" i="34"/>
  <c r="S292" i="34" s="1"/>
  <c r="R279" i="34"/>
  <c r="S279" i="34" s="1"/>
  <c r="R275" i="34"/>
  <c r="R57" i="34"/>
  <c r="U56" i="34" s="1"/>
  <c r="R64" i="34"/>
  <c r="U63" i="34" s="1"/>
  <c r="R135" i="34"/>
  <c r="U134" i="34" s="1"/>
  <c r="R272" i="34"/>
  <c r="U271" i="34"/>
  <c r="R262" i="34"/>
  <c r="U261" i="34" s="1"/>
  <c r="R224" i="34"/>
  <c r="S224" i="34" s="1"/>
  <c r="R180" i="34"/>
  <c r="R106" i="34"/>
  <c r="R246" i="34"/>
  <c r="S246" i="34" s="1"/>
  <c r="R98" i="34"/>
  <c r="S98" i="34" s="1"/>
  <c r="R112" i="34"/>
  <c r="S112" i="34" s="1"/>
  <c r="R85" i="34"/>
  <c r="R226" i="34"/>
  <c r="S226" i="34" s="1"/>
  <c r="R70" i="34"/>
  <c r="S70" i="34" s="1"/>
  <c r="R36" i="34"/>
  <c r="S36" i="34" s="1"/>
  <c r="R68" i="34"/>
  <c r="S68" i="34" s="1"/>
  <c r="R56" i="34"/>
  <c r="R54" i="34"/>
  <c r="S54" i="34" s="1"/>
  <c r="R122" i="34"/>
  <c r="S122" i="34" s="1"/>
  <c r="R83" i="34"/>
  <c r="S83" i="34" s="1"/>
  <c r="R109" i="34"/>
  <c r="S109" i="34" s="1"/>
  <c r="R143" i="34"/>
  <c r="S143" i="34" s="1"/>
  <c r="R166" i="34"/>
  <c r="S166" i="34" s="1"/>
  <c r="R176" i="34"/>
  <c r="S176" i="34" s="1"/>
  <c r="R164" i="34"/>
  <c r="S164" i="34" s="1"/>
  <c r="R216" i="34"/>
  <c r="S216" i="34" s="1"/>
  <c r="R201" i="34"/>
  <c r="S201" i="34" s="1"/>
  <c r="R257" i="34"/>
  <c r="S257" i="34" s="1"/>
  <c r="R290" i="34"/>
  <c r="R286" i="34"/>
  <c r="S141" i="34"/>
  <c r="U141" i="34"/>
  <c r="R139" i="34"/>
  <c r="U138" i="34" s="1"/>
  <c r="R146" i="34"/>
  <c r="U145" i="34" s="1"/>
  <c r="U214" i="34"/>
  <c r="R215" i="34"/>
  <c r="R200" i="34"/>
  <c r="U199" i="34"/>
  <c r="U290" i="34"/>
  <c r="R291" i="34"/>
  <c r="R276" i="34"/>
  <c r="U275" i="34"/>
  <c r="R242" i="34"/>
  <c r="R173" i="34"/>
  <c r="S173" i="34" s="1"/>
  <c r="R30" i="34"/>
  <c r="S30" i="34" s="1"/>
  <c r="R249" i="34"/>
  <c r="S249" i="34" s="1"/>
  <c r="R232" i="34"/>
  <c r="R168" i="34"/>
  <c r="S168" i="34" s="1"/>
  <c r="R72" i="34"/>
  <c r="S72" i="34" s="1"/>
  <c r="R170" i="34"/>
  <c r="R24" i="34"/>
  <c r="S24" i="34" s="1"/>
  <c r="R42" i="34"/>
  <c r="S42" i="34" s="1"/>
  <c r="R78" i="34"/>
  <c r="R60" i="34"/>
  <c r="R66" i="34"/>
  <c r="S66" i="34" s="1"/>
  <c r="R132" i="34"/>
  <c r="S132" i="34" s="1"/>
  <c r="R88" i="34"/>
  <c r="R130" i="34"/>
  <c r="S130" i="34" s="1"/>
  <c r="R195" i="34"/>
  <c r="R186" i="34"/>
  <c r="S186" i="34" s="1"/>
  <c r="R188" i="34"/>
  <c r="S188" i="34" s="1"/>
  <c r="R222" i="34"/>
  <c r="S222" i="34" s="1"/>
  <c r="R251" i="34"/>
  <c r="S251" i="34" s="1"/>
  <c r="R267" i="34"/>
  <c r="S267" i="34" s="1"/>
  <c r="R277" i="34"/>
  <c r="S277" i="34" s="1"/>
  <c r="R294" i="34"/>
  <c r="S294" i="34" s="1"/>
  <c r="R156" i="34"/>
  <c r="U155" i="34" s="1"/>
  <c r="R45" i="34"/>
  <c r="U44" i="34" s="1"/>
  <c r="R117" i="34"/>
  <c r="U116" i="34"/>
  <c r="R171" i="34"/>
  <c r="U170" i="34" s="1"/>
  <c r="R233" i="34"/>
  <c r="U232" i="34" s="1"/>
  <c r="R211" i="34"/>
  <c r="U210" i="34"/>
  <c r="R287" i="34"/>
  <c r="U286" i="34"/>
  <c r="AC6" i="6"/>
  <c r="S242" i="34" l="1"/>
  <c r="V242" i="34" s="1"/>
  <c r="W242" i="34" s="1"/>
  <c r="S195" i="34"/>
  <c r="T195" i="34" s="1"/>
  <c r="S106" i="34"/>
  <c r="T106" i="34" s="1"/>
  <c r="S239" i="34"/>
  <c r="T239" i="34" s="1"/>
  <c r="S148" i="34"/>
  <c r="T148" i="34" s="1"/>
  <c r="S228" i="34"/>
  <c r="T228" i="34" s="1"/>
  <c r="S88" i="34"/>
  <c r="V88" i="34" s="1"/>
  <c r="W88" i="34" s="1"/>
  <c r="S95" i="34"/>
  <c r="T95" i="34" s="1"/>
  <c r="S50" i="34"/>
  <c r="T50" i="34" s="1"/>
  <c r="S151" i="34"/>
  <c r="T151" i="34" s="1"/>
  <c r="S91" i="34"/>
  <c r="T91" i="34" s="1"/>
  <c r="S60" i="34"/>
  <c r="T60" i="34" s="1"/>
  <c r="S78" i="34"/>
  <c r="V78" i="34" s="1"/>
  <c r="W78" i="34" s="1"/>
  <c r="S85" i="34"/>
  <c r="V85" i="34" s="1"/>
  <c r="W85" i="34" s="1"/>
  <c r="S120" i="34"/>
  <c r="T120" i="34" s="1"/>
  <c r="T206" i="34"/>
  <c r="V206" i="34"/>
  <c r="W206" i="34" s="1"/>
  <c r="U126" i="34"/>
  <c r="S180" i="34"/>
  <c r="V180" i="34" s="1"/>
  <c r="W180" i="34" s="1"/>
  <c r="S170" i="34"/>
  <c r="T170" i="34" s="1"/>
  <c r="T166" i="34"/>
  <c r="V166" i="34"/>
  <c r="W166" i="34" s="1"/>
  <c r="T122" i="34"/>
  <c r="V122" i="34"/>
  <c r="W122" i="34" s="1"/>
  <c r="T112" i="34"/>
  <c r="V112" i="34"/>
  <c r="W112" i="34" s="1"/>
  <c r="T251" i="34"/>
  <c r="V251" i="34"/>
  <c r="W251" i="34" s="1"/>
  <c r="T66" i="34"/>
  <c r="V66" i="34"/>
  <c r="W66" i="34" s="1"/>
  <c r="T24" i="34"/>
  <c r="V24" i="34"/>
  <c r="W24" i="34" s="1"/>
  <c r="S232" i="34"/>
  <c r="T257" i="34"/>
  <c r="V257" i="34"/>
  <c r="W257" i="34" s="1"/>
  <c r="T176" i="34"/>
  <c r="V176" i="34"/>
  <c r="W176" i="34" s="1"/>
  <c r="T83" i="34"/>
  <c r="V83" i="34"/>
  <c r="W83" i="34" s="1"/>
  <c r="T68" i="34"/>
  <c r="V68" i="34"/>
  <c r="W68" i="34" s="1"/>
  <c r="T292" i="34"/>
  <c r="V292" i="34"/>
  <c r="W292" i="34" s="1"/>
  <c r="S214" i="34"/>
  <c r="T160" i="34"/>
  <c r="V160" i="34"/>
  <c r="W160" i="34" s="1"/>
  <c r="T158" i="34"/>
  <c r="V158" i="34"/>
  <c r="W158" i="34" s="1"/>
  <c r="S261" i="34"/>
  <c r="T235" i="34"/>
  <c r="V235" i="34"/>
  <c r="W235" i="34" s="1"/>
  <c r="T255" i="34"/>
  <c r="V255" i="34"/>
  <c r="W255" i="34" s="1"/>
  <c r="S184" i="34"/>
  <c r="S134" i="34"/>
  <c r="S44" i="34"/>
  <c r="S116" i="34"/>
  <c r="T130" i="34"/>
  <c r="V130" i="34"/>
  <c r="W130" i="34" s="1"/>
  <c r="T36" i="34"/>
  <c r="V36" i="34"/>
  <c r="W36" i="34" s="1"/>
  <c r="T32" i="34"/>
  <c r="V32" i="34"/>
  <c r="W32" i="34" s="1"/>
  <c r="T253" i="34"/>
  <c r="V253" i="34"/>
  <c r="W253" i="34" s="1"/>
  <c r="T203" i="34"/>
  <c r="V203" i="34"/>
  <c r="W203" i="34" s="1"/>
  <c r="T100" i="34"/>
  <c r="V100" i="34"/>
  <c r="W100" i="34" s="1"/>
  <c r="T28" i="34"/>
  <c r="V28" i="34"/>
  <c r="W28" i="34" s="1"/>
  <c r="S210" i="34"/>
  <c r="T294" i="34"/>
  <c r="V294" i="34"/>
  <c r="W294" i="34" s="1"/>
  <c r="T141" i="34"/>
  <c r="V141" i="34"/>
  <c r="W141" i="34" s="1"/>
  <c r="T162" i="34"/>
  <c r="V162" i="34"/>
  <c r="W162" i="34" s="1"/>
  <c r="T277" i="34"/>
  <c r="V277" i="34"/>
  <c r="W277" i="34" s="1"/>
  <c r="T188" i="34"/>
  <c r="V188" i="34"/>
  <c r="W188" i="34" s="1"/>
  <c r="T72" i="34"/>
  <c r="V72" i="34"/>
  <c r="W72" i="34" s="1"/>
  <c r="T30" i="34"/>
  <c r="V30" i="34"/>
  <c r="W30" i="34" s="1"/>
  <c r="S286" i="34"/>
  <c r="T216" i="34"/>
  <c r="V216" i="34"/>
  <c r="W216" i="34" s="1"/>
  <c r="T143" i="34"/>
  <c r="V143" i="34"/>
  <c r="W143" i="34" s="1"/>
  <c r="T54" i="34"/>
  <c r="V54" i="34"/>
  <c r="W54" i="34" s="1"/>
  <c r="T70" i="34"/>
  <c r="V70" i="34"/>
  <c r="W70" i="34" s="1"/>
  <c r="T98" i="34"/>
  <c r="V98" i="34"/>
  <c r="W98" i="34" s="1"/>
  <c r="T224" i="34"/>
  <c r="V224" i="34"/>
  <c r="W224" i="34" s="1"/>
  <c r="S275" i="34"/>
  <c r="T218" i="34"/>
  <c r="V218" i="34"/>
  <c r="W218" i="34" s="1"/>
  <c r="T124" i="34"/>
  <c r="V124" i="34"/>
  <c r="W124" i="34" s="1"/>
  <c r="S74" i="34"/>
  <c r="S138" i="34"/>
  <c r="T264" i="34"/>
  <c r="V264" i="34"/>
  <c r="W264" i="34" s="1"/>
  <c r="T81" i="34"/>
  <c r="V81" i="34"/>
  <c r="W81" i="34" s="1"/>
  <c r="T237" i="34"/>
  <c r="V237" i="34"/>
  <c r="W237" i="34" s="1"/>
  <c r="T102" i="34"/>
  <c r="V102" i="34"/>
  <c r="W102" i="34" s="1"/>
  <c r="S63" i="34"/>
  <c r="T128" i="34"/>
  <c r="V128" i="34"/>
  <c r="W128" i="34" s="1"/>
  <c r="T104" i="34"/>
  <c r="V104" i="34"/>
  <c r="W104" i="34" s="1"/>
  <c r="S155" i="34"/>
  <c r="T222" i="34"/>
  <c r="V222" i="34"/>
  <c r="W222" i="34" s="1"/>
  <c r="T249" i="34"/>
  <c r="V249" i="34"/>
  <c r="W249" i="34" s="1"/>
  <c r="T201" i="34"/>
  <c r="V201" i="34"/>
  <c r="W201" i="34" s="1"/>
  <c r="T267" i="34"/>
  <c r="V267" i="34"/>
  <c r="W267" i="34" s="1"/>
  <c r="T186" i="34"/>
  <c r="V186" i="34"/>
  <c r="W186" i="34" s="1"/>
  <c r="T132" i="34"/>
  <c r="V132" i="34"/>
  <c r="W132" i="34" s="1"/>
  <c r="T42" i="34"/>
  <c r="V42" i="34"/>
  <c r="W42" i="34" s="1"/>
  <c r="T168" i="34"/>
  <c r="V168" i="34"/>
  <c r="W168" i="34" s="1"/>
  <c r="T173" i="34"/>
  <c r="V173" i="34"/>
  <c r="W173" i="34" s="1"/>
  <c r="S290" i="34"/>
  <c r="T164" i="34"/>
  <c r="V164" i="34"/>
  <c r="W164" i="34" s="1"/>
  <c r="T109" i="34"/>
  <c r="V109" i="34"/>
  <c r="W109" i="34" s="1"/>
  <c r="S56" i="34"/>
  <c r="T226" i="34"/>
  <c r="V226" i="34"/>
  <c r="W226" i="34" s="1"/>
  <c r="T246" i="34"/>
  <c r="V246" i="34"/>
  <c r="W246" i="34" s="1"/>
  <c r="T279" i="34"/>
  <c r="V279" i="34"/>
  <c r="W279" i="34" s="1"/>
  <c r="T191" i="34"/>
  <c r="V191" i="34"/>
  <c r="W191" i="34" s="1"/>
  <c r="T48" i="34"/>
  <c r="V48" i="34"/>
  <c r="W48" i="34" s="1"/>
  <c r="T282" i="34"/>
  <c r="V282" i="34"/>
  <c r="W282" i="34" s="1"/>
  <c r="S145" i="34"/>
  <c r="S199" i="34"/>
  <c r="T38" i="34"/>
  <c r="V38" i="34"/>
  <c r="W38" i="34" s="1"/>
  <c r="T22" i="34"/>
  <c r="V22" i="34"/>
  <c r="W22" i="34" s="1"/>
  <c r="S271" i="34"/>
  <c r="T259" i="34"/>
  <c r="V259" i="34"/>
  <c r="W259" i="34" s="1"/>
  <c r="Q13" i="33"/>
  <c r="N11" i="33"/>
  <c r="J13" i="33"/>
  <c r="D11" i="33"/>
  <c r="I208" i="33" l="1"/>
  <c r="I182" i="33"/>
  <c r="I149" i="33"/>
  <c r="I119" i="33"/>
  <c r="I284" i="33"/>
  <c r="I274" i="33"/>
  <c r="I266" i="33"/>
  <c r="I193" i="33"/>
  <c r="I188" i="33"/>
  <c r="I155" i="33"/>
  <c r="I216" i="33"/>
  <c r="I212" i="33"/>
  <c r="I199" i="33"/>
  <c r="I264" i="33"/>
  <c r="I236" i="33"/>
  <c r="I234" i="33"/>
  <c r="I232" i="33"/>
  <c r="I153" i="33"/>
  <c r="I270" i="33"/>
  <c r="I242" i="33"/>
  <c r="I167" i="33"/>
  <c r="I157" i="33"/>
  <c r="I272" i="33"/>
  <c r="I262" i="33"/>
  <c r="I240" i="33"/>
  <c r="I203" i="33"/>
  <c r="I151" i="33"/>
  <c r="I31" i="33"/>
  <c r="I83" i="33"/>
  <c r="I268" i="33"/>
  <c r="I246" i="33"/>
  <c r="I228" i="33"/>
  <c r="I177" i="33"/>
  <c r="I248" i="33"/>
  <c r="I238" i="33"/>
  <c r="R237" i="33" s="1"/>
  <c r="S237" i="33" s="1"/>
  <c r="T237" i="33" s="1"/>
  <c r="I196" i="33"/>
  <c r="I257" i="33"/>
  <c r="I179" i="33"/>
  <c r="I278" i="33"/>
  <c r="I85" i="33"/>
  <c r="I259" i="33"/>
  <c r="I104" i="33"/>
  <c r="I63" i="33"/>
  <c r="I108" i="33"/>
  <c r="I61" i="33"/>
  <c r="I71" i="33"/>
  <c r="I53" i="33"/>
  <c r="I146" i="33"/>
  <c r="I134" i="33"/>
  <c r="I110" i="33"/>
  <c r="I75" i="33"/>
  <c r="I159" i="33"/>
  <c r="I33" i="33"/>
  <c r="I171" i="33"/>
  <c r="I106" i="33"/>
  <c r="I28" i="33"/>
  <c r="R27" i="33" s="1"/>
  <c r="S27" i="33" s="1"/>
  <c r="T27" i="33" s="1"/>
  <c r="I138" i="33"/>
  <c r="I91" i="33"/>
  <c r="I41" i="33"/>
  <c r="I94" i="33"/>
  <c r="I140" i="33"/>
  <c r="R139" i="33" s="1"/>
  <c r="I175" i="33"/>
  <c r="I67" i="33"/>
  <c r="I65" i="33"/>
  <c r="I165" i="33"/>
  <c r="I88" i="33"/>
  <c r="I123" i="33"/>
  <c r="I128" i="33"/>
  <c r="I136" i="33"/>
  <c r="I142" i="33"/>
  <c r="R141" i="33" s="1"/>
  <c r="S141" i="33" s="1"/>
  <c r="T141" i="33" s="1"/>
  <c r="I225" i="33"/>
  <c r="I26" i="33"/>
  <c r="I80" i="33"/>
  <c r="I113" i="33"/>
  <c r="I24" i="33"/>
  <c r="I125" i="33"/>
  <c r="I144" i="33"/>
  <c r="I244" i="33"/>
  <c r="I116" i="33"/>
  <c r="I73" i="33"/>
  <c r="I163" i="33"/>
  <c r="Q292" i="33"/>
  <c r="R292" i="33" s="1"/>
  <c r="Q282" i="33"/>
  <c r="Q216" i="33"/>
  <c r="Q203" i="33"/>
  <c r="Q199" i="33"/>
  <c r="Q196" i="33"/>
  <c r="Q191" i="33"/>
  <c r="Q179" i="33"/>
  <c r="R179" i="33" s="1"/>
  <c r="U178" i="33" s="1"/>
  <c r="Q146" i="33"/>
  <c r="Q290" i="33"/>
  <c r="R290" i="33" s="1"/>
  <c r="Q278" i="33"/>
  <c r="Q272" i="33"/>
  <c r="R272" i="33" s="1"/>
  <c r="U271" i="33" s="1"/>
  <c r="Q259" i="33"/>
  <c r="Q248" i="33"/>
  <c r="Q228" i="33"/>
  <c r="Q219" i="33"/>
  <c r="Q210" i="33"/>
  <c r="Q184" i="33"/>
  <c r="Q138" i="33"/>
  <c r="Q121" i="33"/>
  <c r="Q288" i="33"/>
  <c r="R288" i="33" s="1"/>
  <c r="Q286" i="33"/>
  <c r="Q281" i="33"/>
  <c r="Q276" i="33"/>
  <c r="Q223" i="33"/>
  <c r="R223" i="33" s="1"/>
  <c r="Q221" i="33"/>
  <c r="R221" i="33" s="1"/>
  <c r="Q214" i="33"/>
  <c r="R214" i="33" s="1"/>
  <c r="Q190" i="33"/>
  <c r="Q186" i="33"/>
  <c r="R186" i="33" s="1"/>
  <c r="Q285" i="33"/>
  <c r="Q280" i="33"/>
  <c r="Q275" i="33"/>
  <c r="Q257" i="33"/>
  <c r="R257" i="33" s="1"/>
  <c r="U256" i="33" s="1"/>
  <c r="Q226" i="33"/>
  <c r="Q194" i="33"/>
  <c r="Q189" i="33"/>
  <c r="Q171" i="33"/>
  <c r="Q151" i="33"/>
  <c r="R151" i="33" s="1"/>
  <c r="U150" i="33" s="1"/>
  <c r="Q268" i="33"/>
  <c r="R268" i="33" s="1"/>
  <c r="U267" i="33" s="1"/>
  <c r="Q246" i="33"/>
  <c r="Q240" i="33"/>
  <c r="Q217" i="33"/>
  <c r="Q204" i="33"/>
  <c r="Q200" i="33"/>
  <c r="Q169" i="33"/>
  <c r="Q208" i="33"/>
  <c r="Q168" i="33"/>
  <c r="Q163" i="33"/>
  <c r="R163" i="33" s="1"/>
  <c r="U162" i="33" s="1"/>
  <c r="Q120" i="33"/>
  <c r="Q116" i="33"/>
  <c r="Q97" i="33"/>
  <c r="R97" i="33" s="1"/>
  <c r="Q95" i="33"/>
  <c r="R94" i="33" s="1"/>
  <c r="U93" i="33" s="1"/>
  <c r="Q81" i="33"/>
  <c r="Q68" i="33"/>
  <c r="Q76" i="33"/>
  <c r="Q284" i="33"/>
  <c r="Q279" i="33"/>
  <c r="Q253" i="33"/>
  <c r="R253" i="33" s="1"/>
  <c r="Q225" i="33"/>
  <c r="Q123" i="33"/>
  <c r="R123" i="33" s="1"/>
  <c r="U122" i="33" s="1"/>
  <c r="Q110" i="33"/>
  <c r="R110" i="33" s="1"/>
  <c r="U109" i="33" s="1"/>
  <c r="Q106" i="33"/>
  <c r="R106" i="33" s="1"/>
  <c r="U105" i="33" s="1"/>
  <c r="Q274" i="33"/>
  <c r="R274" i="33" s="1"/>
  <c r="U273" i="33" s="1"/>
  <c r="Q260" i="33"/>
  <c r="Q242" i="33"/>
  <c r="R242" i="33" s="1"/>
  <c r="U241" i="33" s="1"/>
  <c r="Q188" i="33"/>
  <c r="Q183" i="33"/>
  <c r="Q119" i="33"/>
  <c r="R119" i="33" s="1"/>
  <c r="U118" i="33" s="1"/>
  <c r="Q92" i="33"/>
  <c r="Q85" i="33"/>
  <c r="Q57" i="33"/>
  <c r="R57" i="33" s="1"/>
  <c r="Q55" i="33"/>
  <c r="Q49" i="33"/>
  <c r="R49" i="33" s="1"/>
  <c r="Q270" i="33"/>
  <c r="Q193" i="33"/>
  <c r="R193" i="33" s="1"/>
  <c r="U192" i="33" s="1"/>
  <c r="Q266" i="33"/>
  <c r="R266" i="33" s="1"/>
  <c r="U265" i="33" s="1"/>
  <c r="Q251" i="33"/>
  <c r="R251" i="33" s="1"/>
  <c r="Q244" i="33"/>
  <c r="Q182" i="33"/>
  <c r="R182" i="33" s="1"/>
  <c r="U181" i="33" s="1"/>
  <c r="Q167" i="33"/>
  <c r="Q159" i="33"/>
  <c r="R159" i="33" s="1"/>
  <c r="U158" i="33" s="1"/>
  <c r="Q149" i="33"/>
  <c r="R149" i="33" s="1"/>
  <c r="U148" i="33" s="1"/>
  <c r="Q75" i="33"/>
  <c r="Q54" i="33"/>
  <c r="Q41" i="33"/>
  <c r="Q33" i="33"/>
  <c r="Q255" i="33"/>
  <c r="Q218" i="33"/>
  <c r="Q209" i="33"/>
  <c r="Q173" i="33"/>
  <c r="Q111" i="33"/>
  <c r="Q108" i="33"/>
  <c r="R108" i="33" s="1"/>
  <c r="U107" i="33" s="1"/>
  <c r="Q101" i="33"/>
  <c r="R101" i="33" s="1"/>
  <c r="Q91" i="33"/>
  <c r="Q78" i="33"/>
  <c r="Q61" i="33"/>
  <c r="R61" i="33" s="1"/>
  <c r="U60" i="33" s="1"/>
  <c r="Q44" i="33"/>
  <c r="Q140" i="33"/>
  <c r="Q89" i="33"/>
  <c r="Q86" i="33"/>
  <c r="Q83" i="33"/>
  <c r="Q43" i="33"/>
  <c r="Q45" i="33"/>
  <c r="Q117" i="33"/>
  <c r="Q104" i="33"/>
  <c r="R104" i="33" s="1"/>
  <c r="U103" i="33" s="1"/>
  <c r="Q63" i="33"/>
  <c r="R63" i="33" s="1"/>
  <c r="U62" i="33" s="1"/>
  <c r="Q37" i="33"/>
  <c r="R37" i="33" s="1"/>
  <c r="Q34" i="33"/>
  <c r="Q31" i="33"/>
  <c r="R31" i="33" s="1"/>
  <c r="U30" i="33" s="1"/>
  <c r="Q39" i="33"/>
  <c r="R39" i="33" s="1"/>
  <c r="Q88" i="33"/>
  <c r="R88" i="33" s="1"/>
  <c r="U87" i="33" s="1"/>
  <c r="Q42" i="33"/>
  <c r="Q77" i="33"/>
  <c r="Q53" i="33"/>
  <c r="Q157" i="33"/>
  <c r="R157" i="33" s="1"/>
  <c r="U156" i="33" s="1"/>
  <c r="Q59" i="33"/>
  <c r="R59" i="33" s="1"/>
  <c r="Q47" i="33"/>
  <c r="R47" i="33" s="1"/>
  <c r="Q35" i="33"/>
  <c r="Q65" i="33"/>
  <c r="Q51" i="33"/>
  <c r="R51" i="33" s="1"/>
  <c r="Q73" i="33"/>
  <c r="R73" i="33" s="1"/>
  <c r="U72" i="33" s="1"/>
  <c r="Q129" i="33"/>
  <c r="Q161" i="33"/>
  <c r="R161" i="33" s="1"/>
  <c r="Q128" i="33"/>
  <c r="R128" i="33" s="1"/>
  <c r="U127" i="33" s="1"/>
  <c r="Q80" i="33"/>
  <c r="R80" i="33" s="1"/>
  <c r="U79" i="33" s="1"/>
  <c r="Q71" i="33"/>
  <c r="Q67" i="33"/>
  <c r="Q172" i="33"/>
  <c r="Q229" i="33"/>
  <c r="Q69" i="33"/>
  <c r="Q99" i="33"/>
  <c r="R99" i="33" s="1"/>
  <c r="Q264" i="33"/>
  <c r="R264" i="33" s="1"/>
  <c r="U263" i="33" s="1"/>
  <c r="Q155" i="33"/>
  <c r="R155" i="33" s="1"/>
  <c r="U154" i="33" s="1"/>
  <c r="Q262" i="33"/>
  <c r="R262" i="33" s="1"/>
  <c r="U261" i="33" s="1"/>
  <c r="Q153" i="33"/>
  <c r="R153" i="33" s="1"/>
  <c r="U152" i="33" s="1"/>
  <c r="Q165" i="33"/>
  <c r="R165" i="33" s="1"/>
  <c r="U164" i="33" s="1"/>
  <c r="Q197" i="33"/>
  <c r="Q249" i="33"/>
  <c r="Q125" i="33"/>
  <c r="Q113" i="33"/>
  <c r="Q114" i="33"/>
  <c r="Q126" i="33"/>
  <c r="F268" i="33"/>
  <c r="R267" i="33" s="1"/>
  <c r="S267" i="33" s="1"/>
  <c r="T267" i="33" s="1"/>
  <c r="F262" i="33"/>
  <c r="F246" i="33"/>
  <c r="R245" i="33" s="1"/>
  <c r="F240" i="33"/>
  <c r="R239" i="33" s="1"/>
  <c r="F208" i="33"/>
  <c r="R207" i="33" s="1"/>
  <c r="F182" i="33"/>
  <c r="R181" i="33" s="1"/>
  <c r="F149" i="33"/>
  <c r="R148" i="33" s="1"/>
  <c r="S148" i="33" s="1"/>
  <c r="T148" i="33" s="1"/>
  <c r="F119" i="33"/>
  <c r="R118" i="33" s="1"/>
  <c r="S118" i="33" s="1"/>
  <c r="T118" i="33" s="1"/>
  <c r="F284" i="33"/>
  <c r="R283" i="33" s="1"/>
  <c r="F274" i="33"/>
  <c r="R273" i="33" s="1"/>
  <c r="F266" i="33"/>
  <c r="R265" i="33" s="1"/>
  <c r="F244" i="33"/>
  <c r="R243" i="33" s="1"/>
  <c r="F225" i="33"/>
  <c r="R224" i="33" s="1"/>
  <c r="F193" i="33"/>
  <c r="F188" i="33"/>
  <c r="R187" i="33" s="1"/>
  <c r="F278" i="33"/>
  <c r="R277" i="33" s="1"/>
  <c r="F272" i="33"/>
  <c r="R271" i="33" s="1"/>
  <c r="S271" i="33" s="1"/>
  <c r="T271" i="33" s="1"/>
  <c r="F259" i="33"/>
  <c r="R258" i="33" s="1"/>
  <c r="F138" i="33"/>
  <c r="R137" i="33" s="1"/>
  <c r="F264" i="33"/>
  <c r="R263" i="33" s="1"/>
  <c r="F153" i="33"/>
  <c r="R152" i="33" s="1"/>
  <c r="F128" i="33"/>
  <c r="R127" i="33" s="1"/>
  <c r="S127" i="33" s="1"/>
  <c r="T127" i="33" s="1"/>
  <c r="F116" i="33"/>
  <c r="R115" i="33" s="1"/>
  <c r="F199" i="33"/>
  <c r="R198" i="33" s="1"/>
  <c r="F175" i="33"/>
  <c r="R174" i="33" s="1"/>
  <c r="S174" i="33" s="1"/>
  <c r="T174" i="33" s="1"/>
  <c r="F159" i="33"/>
  <c r="R158" i="33" s="1"/>
  <c r="S158" i="33" s="1"/>
  <c r="T158" i="33" s="1"/>
  <c r="F91" i="33"/>
  <c r="R90" i="33" s="1"/>
  <c r="F61" i="33"/>
  <c r="R60" i="33" s="1"/>
  <c r="S60" i="33" s="1"/>
  <c r="T60" i="33" s="1"/>
  <c r="F151" i="33"/>
  <c r="R150" i="33" s="1"/>
  <c r="S150" i="33" s="1"/>
  <c r="T150" i="33" s="1"/>
  <c r="F216" i="33"/>
  <c r="R215" i="33" s="1"/>
  <c r="F136" i="33"/>
  <c r="R135" i="33" s="1"/>
  <c r="S135" i="33" s="1"/>
  <c r="T135" i="33" s="1"/>
  <c r="F83" i="33"/>
  <c r="R82" i="33" s="1"/>
  <c r="F73" i="33"/>
  <c r="R72" i="33" s="1"/>
  <c r="S72" i="33" s="1"/>
  <c r="T72" i="33" s="1"/>
  <c r="F65" i="33"/>
  <c r="F53" i="33"/>
  <c r="R52" i="33" s="1"/>
  <c r="F206" i="33"/>
  <c r="R205" i="33" s="1"/>
  <c r="S205" i="33" s="1"/>
  <c r="T205" i="33" s="1"/>
  <c r="F257" i="33"/>
  <c r="R256" i="33" s="1"/>
  <c r="S256" i="33" s="1"/>
  <c r="T256" i="33" s="1"/>
  <c r="F242" i="33"/>
  <c r="R241" i="33" s="1"/>
  <c r="S241" i="33" s="1"/>
  <c r="T241" i="33" s="1"/>
  <c r="F179" i="33"/>
  <c r="R178" i="33" s="1"/>
  <c r="S178" i="33" s="1"/>
  <c r="T178" i="33" s="1"/>
  <c r="F171" i="33"/>
  <c r="R170" i="33" s="1"/>
  <c r="F146" i="33"/>
  <c r="R145" i="33" s="1"/>
  <c r="F106" i="33"/>
  <c r="R105" i="33" s="1"/>
  <c r="S105" i="33" s="1"/>
  <c r="T105" i="33" s="1"/>
  <c r="F94" i="33"/>
  <c r="R93" i="33" s="1"/>
  <c r="S93" i="33" s="1"/>
  <c r="T93" i="33" s="1"/>
  <c r="F270" i="33"/>
  <c r="R269" i="33" s="1"/>
  <c r="F155" i="33"/>
  <c r="R154" i="33" s="1"/>
  <c r="F41" i="33"/>
  <c r="R40" i="33" s="1"/>
  <c r="F157" i="33"/>
  <c r="R156" i="33" s="1"/>
  <c r="S156" i="33" s="1"/>
  <c r="T156" i="33" s="1"/>
  <c r="F80" i="33"/>
  <c r="R79" i="33" s="1"/>
  <c r="S79" i="33" s="1"/>
  <c r="T79" i="33" s="1"/>
  <c r="F33" i="33"/>
  <c r="R32" i="33" s="1"/>
  <c r="F134" i="33"/>
  <c r="R133" i="33" s="1"/>
  <c r="S133" i="33" s="1"/>
  <c r="T133" i="33" s="1"/>
  <c r="F125" i="33"/>
  <c r="R124" i="33" s="1"/>
  <c r="F144" i="33"/>
  <c r="R143" i="33" s="1"/>
  <c r="S143" i="33" s="1"/>
  <c r="T143" i="33" s="1"/>
  <c r="F123" i="33"/>
  <c r="R122" i="33" s="1"/>
  <c r="S122" i="33" s="1"/>
  <c r="T122" i="33" s="1"/>
  <c r="F104" i="33"/>
  <c r="R103" i="33" s="1"/>
  <c r="S103" i="33" s="1"/>
  <c r="T103" i="33" s="1"/>
  <c r="F75" i="33"/>
  <c r="R74" i="33" s="1"/>
  <c r="F63" i="33"/>
  <c r="R62" i="33" s="1"/>
  <c r="S62" i="33" s="1"/>
  <c r="T62" i="33" s="1"/>
  <c r="F31" i="33"/>
  <c r="R30" i="33" s="1"/>
  <c r="S30" i="33" s="1"/>
  <c r="T30" i="33" s="1"/>
  <c r="F132" i="33"/>
  <c r="R131" i="33" s="1"/>
  <c r="S131" i="33" s="1"/>
  <c r="T131" i="33" s="1"/>
  <c r="F167" i="33"/>
  <c r="R166" i="33" s="1"/>
  <c r="F67" i="33"/>
  <c r="R66" i="33" s="1"/>
  <c r="F88" i="33"/>
  <c r="R87" i="33" s="1"/>
  <c r="F24" i="33"/>
  <c r="R23" i="33" s="1"/>
  <c r="S23" i="33" s="1"/>
  <c r="T23" i="33" s="1"/>
  <c r="F71" i="33"/>
  <c r="R70" i="33" s="1"/>
  <c r="F234" i="33"/>
  <c r="F108" i="33"/>
  <c r="R107" i="33" s="1"/>
  <c r="S107" i="33" s="1"/>
  <c r="T107" i="33" s="1"/>
  <c r="F203" i="33"/>
  <c r="R202" i="33" s="1"/>
  <c r="F236" i="33"/>
  <c r="R235" i="33" s="1"/>
  <c r="S235" i="33" s="1"/>
  <c r="T235" i="33" s="1"/>
  <c r="F196" i="33"/>
  <c r="R195" i="33" s="1"/>
  <c r="F165" i="33"/>
  <c r="R164" i="33" s="1"/>
  <c r="S164" i="33" s="1"/>
  <c r="T164" i="33" s="1"/>
  <c r="F248" i="33"/>
  <c r="R247" i="33" s="1"/>
  <c r="F232" i="33"/>
  <c r="R231" i="33" s="1"/>
  <c r="S231" i="33" s="1"/>
  <c r="T231" i="33" s="1"/>
  <c r="F85" i="33"/>
  <c r="F113" i="33"/>
  <c r="R112" i="33" s="1"/>
  <c r="F26" i="33"/>
  <c r="F163" i="33"/>
  <c r="R162" i="33" s="1"/>
  <c r="S162" i="33" s="1"/>
  <c r="T162" i="33" s="1"/>
  <c r="F228" i="33"/>
  <c r="F212" i="33"/>
  <c r="R211" i="33" s="1"/>
  <c r="S211" i="33" s="1"/>
  <c r="T211" i="33" s="1"/>
  <c r="F110" i="33"/>
  <c r="R109" i="33" s="1"/>
  <c r="S109" i="33" s="1"/>
  <c r="T109" i="33" s="1"/>
  <c r="F177" i="33"/>
  <c r="R176" i="33" s="1"/>
  <c r="S176" i="33" s="1"/>
  <c r="T176" i="33" s="1"/>
  <c r="T242" i="34"/>
  <c r="T85" i="34"/>
  <c r="V195" i="34"/>
  <c r="W195" i="34" s="1"/>
  <c r="V148" i="34"/>
  <c r="W148" i="34" s="1"/>
  <c r="V106" i="34"/>
  <c r="W106" i="34" s="1"/>
  <c r="V239" i="34"/>
  <c r="W239" i="34" s="1"/>
  <c r="T88" i="34"/>
  <c r="V228" i="34"/>
  <c r="W228" i="34" s="1"/>
  <c r="V95" i="34"/>
  <c r="W95" i="34" s="1"/>
  <c r="V151" i="34"/>
  <c r="W151" i="34" s="1"/>
  <c r="V60" i="34"/>
  <c r="W60" i="34" s="1"/>
  <c r="V170" i="34"/>
  <c r="W170" i="34" s="1"/>
  <c r="V50" i="34"/>
  <c r="W50" i="34" s="1"/>
  <c r="V91" i="34"/>
  <c r="W91" i="34" s="1"/>
  <c r="T78" i="34"/>
  <c r="V120" i="34"/>
  <c r="W120" i="34" s="1"/>
  <c r="T180" i="34"/>
  <c r="T155" i="34"/>
  <c r="V155" i="34"/>
  <c r="W155" i="34" s="1"/>
  <c r="T275" i="34"/>
  <c r="V275" i="34"/>
  <c r="W275" i="34" s="1"/>
  <c r="U296" i="34"/>
  <c r="T210" i="34"/>
  <c r="V210" i="34"/>
  <c r="W210" i="34" s="1"/>
  <c r="T44" i="34"/>
  <c r="V44" i="34"/>
  <c r="W44" i="34" s="1"/>
  <c r="T286" i="34"/>
  <c r="V286" i="34"/>
  <c r="W286" i="34" s="1"/>
  <c r="T134" i="34"/>
  <c r="V134" i="34"/>
  <c r="W134" i="34" s="1"/>
  <c r="T199" i="34"/>
  <c r="V199" i="34"/>
  <c r="W199" i="34" s="1"/>
  <c r="T56" i="34"/>
  <c r="V56" i="34"/>
  <c r="W56" i="34" s="1"/>
  <c r="T138" i="34"/>
  <c r="V138" i="34"/>
  <c r="W138" i="34" s="1"/>
  <c r="T184" i="34"/>
  <c r="V184" i="34"/>
  <c r="W184" i="34" s="1"/>
  <c r="T214" i="34"/>
  <c r="V214" i="34"/>
  <c r="W214" i="34" s="1"/>
  <c r="T63" i="34"/>
  <c r="V63" i="34"/>
  <c r="W63" i="34" s="1"/>
  <c r="T271" i="34"/>
  <c r="V271" i="34"/>
  <c r="W271" i="34" s="1"/>
  <c r="T145" i="34"/>
  <c r="V145" i="34"/>
  <c r="W145" i="34" s="1"/>
  <c r="T290" i="34"/>
  <c r="V290" i="34"/>
  <c r="W290" i="34" s="1"/>
  <c r="T74" i="34"/>
  <c r="V74" i="34"/>
  <c r="W74" i="34" s="1"/>
  <c r="T116" i="34"/>
  <c r="V116" i="34"/>
  <c r="W116" i="34" s="1"/>
  <c r="T261" i="34"/>
  <c r="V261" i="34"/>
  <c r="W261" i="34" s="1"/>
  <c r="T232" i="34"/>
  <c r="V232" i="34"/>
  <c r="W232" i="34" s="1"/>
  <c r="R203" i="33" l="1"/>
  <c r="U202" i="33" s="1"/>
  <c r="S224" i="33"/>
  <c r="T224" i="33" s="1"/>
  <c r="R225" i="33"/>
  <c r="U224" i="33" s="1"/>
  <c r="S265" i="33"/>
  <c r="T265" i="33" s="1"/>
  <c r="S202" i="33"/>
  <c r="T202" i="33" s="1"/>
  <c r="R84" i="33"/>
  <c r="R233" i="33"/>
  <c r="S233" i="33" s="1"/>
  <c r="T233" i="33" s="1"/>
  <c r="R41" i="33"/>
  <c r="U40" i="33" s="1"/>
  <c r="R259" i="33"/>
  <c r="U258" i="33" s="1"/>
  <c r="R192" i="33"/>
  <c r="S192" i="33" s="1"/>
  <c r="T192" i="33" s="1"/>
  <c r="S181" i="33"/>
  <c r="T181" i="33" s="1"/>
  <c r="S87" i="33"/>
  <c r="T87" i="33" s="1"/>
  <c r="S154" i="33"/>
  <c r="T154" i="33" s="1"/>
  <c r="S152" i="33"/>
  <c r="T152" i="33" s="1"/>
  <c r="R227" i="33"/>
  <c r="S227" i="33" s="1"/>
  <c r="T227" i="33" s="1"/>
  <c r="R25" i="33"/>
  <c r="S25" i="33" s="1"/>
  <c r="T25" i="33" s="1"/>
  <c r="R64" i="33"/>
  <c r="S258" i="33"/>
  <c r="T258" i="33" s="1"/>
  <c r="S273" i="33"/>
  <c r="T273" i="33" s="1"/>
  <c r="R261" i="33"/>
  <c r="S261" i="33" s="1"/>
  <c r="T261" i="33" s="1"/>
  <c r="U70" i="33"/>
  <c r="R71" i="33"/>
  <c r="S70" i="33" s="1"/>
  <c r="T70" i="33" s="1"/>
  <c r="U38" i="33"/>
  <c r="S38" i="33"/>
  <c r="T38" i="33" s="1"/>
  <c r="R91" i="33"/>
  <c r="U90" i="33" s="1"/>
  <c r="R33" i="33"/>
  <c r="U32" i="33" s="1"/>
  <c r="R244" i="33"/>
  <c r="S243" i="33" s="1"/>
  <c r="T243" i="33" s="1"/>
  <c r="U243" i="33"/>
  <c r="R85" i="33"/>
  <c r="U84" i="33" s="1"/>
  <c r="R208" i="33"/>
  <c r="U207" i="33" s="1"/>
  <c r="R248" i="33"/>
  <c r="U247" i="33" s="1"/>
  <c r="R196" i="33"/>
  <c r="U195" i="33" s="1"/>
  <c r="U46" i="33"/>
  <c r="S46" i="33"/>
  <c r="T46" i="33" s="1"/>
  <c r="R83" i="33"/>
  <c r="S82" i="33" s="1"/>
  <c r="T82" i="33" s="1"/>
  <c r="U82" i="33"/>
  <c r="U100" i="33"/>
  <c r="S100" i="33"/>
  <c r="T100" i="33" s="1"/>
  <c r="U250" i="33"/>
  <c r="S250" i="33"/>
  <c r="T250" i="33" s="1"/>
  <c r="R171" i="33"/>
  <c r="U170" i="33" s="1"/>
  <c r="U185" i="33"/>
  <c r="S185" i="33"/>
  <c r="T185" i="33" s="1"/>
  <c r="U287" i="33"/>
  <c r="S287" i="33"/>
  <c r="T287" i="33" s="1"/>
  <c r="R199" i="33"/>
  <c r="U198" i="33" s="1"/>
  <c r="R113" i="33"/>
  <c r="U112" i="33" s="1"/>
  <c r="U58" i="33"/>
  <c r="S58" i="33"/>
  <c r="T58" i="33" s="1"/>
  <c r="S263" i="33"/>
  <c r="T263" i="33" s="1"/>
  <c r="R125" i="33"/>
  <c r="U124" i="33" s="1"/>
  <c r="U98" i="33"/>
  <c r="S98" i="33"/>
  <c r="T98" i="33" s="1"/>
  <c r="U160" i="33"/>
  <c r="S160" i="33"/>
  <c r="T160" i="33" s="1"/>
  <c r="U36" i="33"/>
  <c r="S36" i="33"/>
  <c r="T36" i="33" s="1"/>
  <c r="R75" i="33"/>
  <c r="U74" i="33" s="1"/>
  <c r="U96" i="33"/>
  <c r="S96" i="33"/>
  <c r="T96" i="33" s="1"/>
  <c r="U213" i="33"/>
  <c r="S213" i="33"/>
  <c r="T213" i="33" s="1"/>
  <c r="R138" i="33"/>
  <c r="S137" i="33" s="1"/>
  <c r="T137" i="33" s="1"/>
  <c r="U137" i="33"/>
  <c r="R278" i="33"/>
  <c r="U277" i="33" s="1"/>
  <c r="R216" i="33"/>
  <c r="U215" i="33" s="1"/>
  <c r="S124" i="33"/>
  <c r="T124" i="33" s="1"/>
  <c r="S90" i="33"/>
  <c r="T90" i="33" s="1"/>
  <c r="R53" i="33"/>
  <c r="U52" i="33" s="1"/>
  <c r="U139" i="33"/>
  <c r="R140" i="33"/>
  <c r="S139" i="33" s="1"/>
  <c r="T139" i="33" s="1"/>
  <c r="R270" i="33"/>
  <c r="S269" i="33" s="1"/>
  <c r="T269" i="33" s="1"/>
  <c r="U269" i="33"/>
  <c r="R188" i="33"/>
  <c r="U187" i="33" s="1"/>
  <c r="U252" i="33"/>
  <c r="S252" i="33"/>
  <c r="T252" i="33" s="1"/>
  <c r="R116" i="33"/>
  <c r="U115" i="33" s="1"/>
  <c r="U220" i="33"/>
  <c r="S220" i="33"/>
  <c r="T220" i="33" s="1"/>
  <c r="U289" i="33"/>
  <c r="S289" i="33"/>
  <c r="T289" i="33" s="1"/>
  <c r="U48" i="33"/>
  <c r="S48" i="33"/>
  <c r="T48" i="33" s="1"/>
  <c r="U239" i="33"/>
  <c r="R240" i="33"/>
  <c r="S239" i="33" s="1"/>
  <c r="T239" i="33" s="1"/>
  <c r="U222" i="33"/>
  <c r="S222" i="33"/>
  <c r="T222" i="33" s="1"/>
  <c r="U145" i="33"/>
  <c r="R146" i="33"/>
  <c r="S145" i="33" s="1"/>
  <c r="T145" i="33" s="1"/>
  <c r="U291" i="33"/>
  <c r="S291" i="33"/>
  <c r="T291" i="33" s="1"/>
  <c r="S32" i="33"/>
  <c r="T32" i="33" s="1"/>
  <c r="U50" i="33"/>
  <c r="S50" i="33"/>
  <c r="T50" i="33" s="1"/>
  <c r="R167" i="33"/>
  <c r="U166" i="33" s="1"/>
  <c r="R284" i="33"/>
  <c r="U283" i="33" s="1"/>
  <c r="U245" i="33"/>
  <c r="R246" i="33"/>
  <c r="S245" i="33" s="1"/>
  <c r="T245" i="33" s="1"/>
  <c r="S84" i="33"/>
  <c r="T84" i="33" s="1"/>
  <c r="S198" i="33"/>
  <c r="T198" i="33" s="1"/>
  <c r="R67" i="33"/>
  <c r="U66" i="33" s="1"/>
  <c r="R65" i="33"/>
  <c r="S64" i="33" s="1"/>
  <c r="T64" i="33" s="1"/>
  <c r="U64" i="33"/>
  <c r="U254" i="33"/>
  <c r="R255" i="33"/>
  <c r="S254" i="33" s="1"/>
  <c r="T254" i="33" s="1"/>
  <c r="U56" i="33"/>
  <c r="S56" i="33"/>
  <c r="T56" i="33" s="1"/>
  <c r="R228" i="33"/>
  <c r="U227" i="33" s="1"/>
  <c r="T296" i="34"/>
  <c r="W296" i="34"/>
  <c r="T126" i="34"/>
  <c r="W220" i="34"/>
  <c r="W126" i="34"/>
  <c r="U220" i="34"/>
  <c r="T220" i="34"/>
  <c r="S112" i="33" l="1"/>
  <c r="T112" i="33" s="1"/>
  <c r="S66" i="33"/>
  <c r="T66" i="33" s="1"/>
  <c r="S40" i="33"/>
  <c r="T40" i="33" s="1"/>
  <c r="S170" i="33"/>
  <c r="T170" i="33" s="1"/>
  <c r="S283" i="33"/>
  <c r="T283" i="33" s="1"/>
  <c r="S52" i="33"/>
  <c r="T52" i="33" s="1"/>
  <c r="S195" i="33"/>
  <c r="T195" i="33" s="1"/>
  <c r="S166" i="33"/>
  <c r="T166" i="33" s="1"/>
  <c r="S187" i="33"/>
  <c r="T187" i="33" s="1"/>
  <c r="S115" i="33"/>
  <c r="T115" i="33" s="1"/>
  <c r="S215" i="33"/>
  <c r="T215" i="33" s="1"/>
  <c r="S74" i="33"/>
  <c r="T74" i="33" s="1"/>
  <c r="S277" i="33"/>
  <c r="T277" i="33" s="1"/>
  <c r="S207" i="33"/>
  <c r="T207" i="33" s="1"/>
  <c r="S247" i="33"/>
  <c r="T247" i="33" s="1"/>
  <c r="W297" i="34"/>
  <c r="W298" i="34" s="1"/>
  <c r="W299" i="34" s="1"/>
  <c r="V14" i="33" l="1"/>
  <c r="V292" i="33" l="1"/>
  <c r="W292" i="33" s="1"/>
  <c r="V286" i="33"/>
  <c r="W286" i="33" s="1"/>
  <c r="V279" i="33"/>
  <c r="W279" i="33" s="1"/>
  <c r="V273" i="33"/>
  <c r="W273" i="33" s="1"/>
  <c r="V260" i="33"/>
  <c r="W260" i="33" s="1"/>
  <c r="V254" i="33"/>
  <c r="W254" i="33" s="1"/>
  <c r="V247" i="33"/>
  <c r="W247" i="33" s="1"/>
  <c r="V241" i="33"/>
  <c r="W241" i="33" s="1"/>
  <c r="V228" i="33"/>
  <c r="W228" i="33" s="1"/>
  <c r="V222" i="33"/>
  <c r="W222" i="33" s="1"/>
  <c r="V215" i="33"/>
  <c r="W215" i="33" s="1"/>
  <c r="V209" i="33"/>
  <c r="W209" i="33" s="1"/>
  <c r="V196" i="33"/>
  <c r="W196" i="33" s="1"/>
  <c r="V284" i="33"/>
  <c r="W284" i="33" s="1"/>
  <c r="V278" i="33"/>
  <c r="W278" i="33" s="1"/>
  <c r="V271" i="33"/>
  <c r="W271" i="33" s="1"/>
  <c r="V265" i="33"/>
  <c r="W265" i="33" s="1"/>
  <c r="V252" i="33"/>
  <c r="W252" i="33" s="1"/>
  <c r="V246" i="33"/>
  <c r="W246" i="33" s="1"/>
  <c r="V239" i="33"/>
  <c r="W239" i="33" s="1"/>
  <c r="V233" i="33"/>
  <c r="W233" i="33" s="1"/>
  <c r="V220" i="33"/>
  <c r="W220" i="33" s="1"/>
  <c r="V214" i="33"/>
  <c r="W214" i="33" s="1"/>
  <c r="V207" i="33"/>
  <c r="W207" i="33" s="1"/>
  <c r="V201" i="33"/>
  <c r="W201" i="33" s="1"/>
  <c r="V188" i="33"/>
  <c r="W188" i="33" s="1"/>
  <c r="V182" i="33"/>
  <c r="W182" i="33" s="1"/>
  <c r="V175" i="33"/>
  <c r="W175" i="33" s="1"/>
  <c r="V169" i="33"/>
  <c r="W169" i="33" s="1"/>
  <c r="V156" i="33"/>
  <c r="W156" i="33" s="1"/>
  <c r="V150" i="33"/>
  <c r="W150" i="33" s="1"/>
  <c r="V143" i="33"/>
  <c r="W143" i="33" s="1"/>
  <c r="V137" i="33"/>
  <c r="W137" i="33" s="1"/>
  <c r="V124" i="33"/>
  <c r="W124" i="33" s="1"/>
  <c r="V118" i="33"/>
  <c r="W118" i="33" s="1"/>
  <c r="V111" i="33"/>
  <c r="W111" i="33" s="1"/>
  <c r="V105" i="33"/>
  <c r="W105" i="33" s="1"/>
  <c r="V92" i="33"/>
  <c r="W92" i="33" s="1"/>
  <c r="V86" i="33"/>
  <c r="W86" i="33" s="1"/>
  <c r="V79" i="33"/>
  <c r="W79" i="33" s="1"/>
  <c r="V73" i="33"/>
  <c r="W73" i="33" s="1"/>
  <c r="V60" i="33"/>
  <c r="W60" i="33" s="1"/>
  <c r="V54" i="33"/>
  <c r="W54" i="33" s="1"/>
  <c r="V47" i="33"/>
  <c r="W47" i="33" s="1"/>
  <c r="V41" i="33"/>
  <c r="W41" i="33" s="1"/>
  <c r="V28" i="33"/>
  <c r="W28" i="33" s="1"/>
  <c r="V22" i="33"/>
  <c r="W22" i="33" s="1"/>
  <c r="V290" i="33"/>
  <c r="W290" i="33" s="1"/>
  <c r="V283" i="33"/>
  <c r="W283" i="33" s="1"/>
  <c r="V277" i="33"/>
  <c r="W277" i="33" s="1"/>
  <c r="V264" i="33"/>
  <c r="W264" i="33" s="1"/>
  <c r="V258" i="33"/>
  <c r="W258" i="33" s="1"/>
  <c r="V251" i="33"/>
  <c r="W251" i="33" s="1"/>
  <c r="V245" i="33"/>
  <c r="W245" i="33" s="1"/>
  <c r="V232" i="33"/>
  <c r="W232" i="33" s="1"/>
  <c r="V226" i="33"/>
  <c r="W226" i="33" s="1"/>
  <c r="V219" i="33"/>
  <c r="W219" i="33" s="1"/>
  <c r="V213" i="33"/>
  <c r="W213" i="33" s="1"/>
  <c r="V200" i="33"/>
  <c r="W200" i="33" s="1"/>
  <c r="V194" i="33"/>
  <c r="W194" i="33" s="1"/>
  <c r="V187" i="33"/>
  <c r="W187" i="33" s="1"/>
  <c r="V181" i="33"/>
  <c r="W181" i="33" s="1"/>
  <c r="V168" i="33"/>
  <c r="W168" i="33" s="1"/>
  <c r="V162" i="33"/>
  <c r="W162" i="33" s="1"/>
  <c r="V155" i="33"/>
  <c r="W155" i="33" s="1"/>
  <c r="V149" i="33"/>
  <c r="W149" i="33" s="1"/>
  <c r="V136" i="33"/>
  <c r="W136" i="33" s="1"/>
  <c r="V130" i="33"/>
  <c r="W130" i="33" s="1"/>
  <c r="V123" i="33"/>
  <c r="W123" i="33" s="1"/>
  <c r="V117" i="33"/>
  <c r="W117" i="33" s="1"/>
  <c r="V104" i="33"/>
  <c r="W104" i="33" s="1"/>
  <c r="V98" i="33"/>
  <c r="W98" i="33" s="1"/>
  <c r="V91" i="33"/>
  <c r="W91" i="33" s="1"/>
  <c r="V85" i="33"/>
  <c r="W85" i="33" s="1"/>
  <c r="V72" i="33"/>
  <c r="W72" i="33" s="1"/>
  <c r="V66" i="33"/>
  <c r="W66" i="33" s="1"/>
  <c r="V59" i="33"/>
  <c r="W59" i="33" s="1"/>
  <c r="V53" i="33"/>
  <c r="W53" i="33" s="1"/>
  <c r="V40" i="33"/>
  <c r="W40" i="33" s="1"/>
  <c r="V289" i="33"/>
  <c r="W289" i="33" s="1"/>
  <c r="V276" i="33"/>
  <c r="W276" i="33" s="1"/>
  <c r="V270" i="33"/>
  <c r="W270" i="33" s="1"/>
  <c r="V263" i="33"/>
  <c r="W263" i="33" s="1"/>
  <c r="V257" i="33"/>
  <c r="W257" i="33" s="1"/>
  <c r="V244" i="33"/>
  <c r="W244" i="33" s="1"/>
  <c r="V238" i="33"/>
  <c r="W238" i="33" s="1"/>
  <c r="V231" i="33"/>
  <c r="W231" i="33" s="1"/>
  <c r="V225" i="33"/>
  <c r="W225" i="33" s="1"/>
  <c r="V212" i="33"/>
  <c r="W212" i="33" s="1"/>
  <c r="V206" i="33"/>
  <c r="W206" i="33" s="1"/>
  <c r="V199" i="33"/>
  <c r="W199" i="33" s="1"/>
  <c r="V193" i="33"/>
  <c r="W193" i="33" s="1"/>
  <c r="V288" i="33"/>
  <c r="W288" i="33" s="1"/>
  <c r="V282" i="33"/>
  <c r="W282" i="33" s="1"/>
  <c r="V275" i="33"/>
  <c r="W275" i="33" s="1"/>
  <c r="V269" i="33"/>
  <c r="W269" i="33" s="1"/>
  <c r="V256" i="33"/>
  <c r="W256" i="33" s="1"/>
  <c r="V250" i="33"/>
  <c r="W250" i="33" s="1"/>
  <c r="V243" i="33"/>
  <c r="W243" i="33" s="1"/>
  <c r="V237" i="33"/>
  <c r="W237" i="33" s="1"/>
  <c r="V224" i="33"/>
  <c r="W224" i="33" s="1"/>
  <c r="V218" i="33"/>
  <c r="W218" i="33" s="1"/>
  <c r="V211" i="33"/>
  <c r="W211" i="33" s="1"/>
  <c r="V205" i="33"/>
  <c r="W205" i="33" s="1"/>
  <c r="V192" i="33"/>
  <c r="W192" i="33" s="1"/>
  <c r="V186" i="33"/>
  <c r="W186" i="33" s="1"/>
  <c r="V179" i="33"/>
  <c r="W179" i="33" s="1"/>
  <c r="V173" i="33"/>
  <c r="W173" i="33" s="1"/>
  <c r="V160" i="33"/>
  <c r="W160" i="33" s="1"/>
  <c r="V154" i="33"/>
  <c r="W154" i="33" s="1"/>
  <c r="V147" i="33"/>
  <c r="W147" i="33" s="1"/>
  <c r="V141" i="33"/>
  <c r="W141" i="33" s="1"/>
  <c r="V128" i="33"/>
  <c r="W128" i="33" s="1"/>
  <c r="V122" i="33"/>
  <c r="W122" i="33" s="1"/>
  <c r="V115" i="33"/>
  <c r="W115" i="33" s="1"/>
  <c r="V109" i="33"/>
  <c r="W109" i="33" s="1"/>
  <c r="V96" i="33"/>
  <c r="W96" i="33" s="1"/>
  <c r="V90" i="33"/>
  <c r="W90" i="33" s="1"/>
  <c r="V83" i="33"/>
  <c r="W83" i="33" s="1"/>
  <c r="V77" i="33"/>
  <c r="W77" i="33" s="1"/>
  <c r="V64" i="33"/>
  <c r="W64" i="33" s="1"/>
  <c r="V58" i="33"/>
  <c r="W58" i="33" s="1"/>
  <c r="V51" i="33"/>
  <c r="W51" i="33" s="1"/>
  <c r="V45" i="33"/>
  <c r="W45" i="33" s="1"/>
  <c r="V32" i="33"/>
  <c r="W32" i="33" s="1"/>
  <c r="V26" i="33"/>
  <c r="W26" i="33" s="1"/>
  <c r="V267" i="33"/>
  <c r="W267" i="33" s="1"/>
  <c r="V229" i="33"/>
  <c r="W229" i="33" s="1"/>
  <c r="V216" i="33"/>
  <c r="W216" i="33" s="1"/>
  <c r="V210" i="33"/>
  <c r="W210" i="33" s="1"/>
  <c r="V203" i="33"/>
  <c r="W203" i="33" s="1"/>
  <c r="V197" i="33"/>
  <c r="W197" i="33" s="1"/>
  <c r="V184" i="33"/>
  <c r="W184" i="33" s="1"/>
  <c r="V178" i="33"/>
  <c r="W178" i="33" s="1"/>
  <c r="V171" i="33"/>
  <c r="W171" i="33" s="1"/>
  <c r="V146" i="33"/>
  <c r="W146" i="33" s="1"/>
  <c r="V133" i="33"/>
  <c r="W133" i="33" s="1"/>
  <c r="V120" i="33"/>
  <c r="W120" i="33" s="1"/>
  <c r="V114" i="33"/>
  <c r="W114" i="33" s="1"/>
  <c r="V101" i="33"/>
  <c r="W101" i="33" s="1"/>
  <c r="V88" i="33"/>
  <c r="W88" i="33" s="1"/>
  <c r="V82" i="33"/>
  <c r="W82" i="33" s="1"/>
  <c r="V75" i="33"/>
  <c r="W75" i="33" s="1"/>
  <c r="V50" i="33"/>
  <c r="W50" i="33" s="1"/>
  <c r="V37" i="33"/>
  <c r="W37" i="33" s="1"/>
  <c r="V24" i="33"/>
  <c r="W24" i="33" s="1"/>
  <c r="V287" i="33"/>
  <c r="W287" i="33" s="1"/>
  <c r="V281" i="33"/>
  <c r="W281" i="33" s="1"/>
  <c r="V268" i="33"/>
  <c r="W268" i="33" s="1"/>
  <c r="V262" i="33"/>
  <c r="W262" i="33" s="1"/>
  <c r="V255" i="33"/>
  <c r="W255" i="33" s="1"/>
  <c r="V249" i="33"/>
  <c r="W249" i="33" s="1"/>
  <c r="V236" i="33"/>
  <c r="W236" i="33" s="1"/>
  <c r="V230" i="33"/>
  <c r="W230" i="33" s="1"/>
  <c r="V223" i="33"/>
  <c r="W223" i="33" s="1"/>
  <c r="V217" i="33"/>
  <c r="W217" i="33" s="1"/>
  <c r="V204" i="33"/>
  <c r="W204" i="33" s="1"/>
  <c r="V198" i="33"/>
  <c r="W198" i="33" s="1"/>
  <c r="V191" i="33"/>
  <c r="W191" i="33" s="1"/>
  <c r="V185" i="33"/>
  <c r="W185" i="33" s="1"/>
  <c r="V172" i="33"/>
  <c r="W172" i="33" s="1"/>
  <c r="V166" i="33"/>
  <c r="W166" i="33" s="1"/>
  <c r="V159" i="33"/>
  <c r="W159" i="33" s="1"/>
  <c r="V153" i="33"/>
  <c r="W153" i="33" s="1"/>
  <c r="V140" i="33"/>
  <c r="W140" i="33" s="1"/>
  <c r="V134" i="33"/>
  <c r="W134" i="33" s="1"/>
  <c r="V127" i="33"/>
  <c r="W127" i="33" s="1"/>
  <c r="V121" i="33"/>
  <c r="W121" i="33" s="1"/>
  <c r="V108" i="33"/>
  <c r="W108" i="33" s="1"/>
  <c r="V102" i="33"/>
  <c r="W102" i="33" s="1"/>
  <c r="V95" i="33"/>
  <c r="W95" i="33" s="1"/>
  <c r="V89" i="33"/>
  <c r="W89" i="33" s="1"/>
  <c r="V76" i="33"/>
  <c r="W76" i="33" s="1"/>
  <c r="V70" i="33"/>
  <c r="W70" i="33" s="1"/>
  <c r="V63" i="33"/>
  <c r="W63" i="33" s="1"/>
  <c r="V57" i="33"/>
  <c r="W57" i="33" s="1"/>
  <c r="V44" i="33"/>
  <c r="W44" i="33" s="1"/>
  <c r="V38" i="33"/>
  <c r="W38" i="33" s="1"/>
  <c r="V31" i="33"/>
  <c r="W31" i="33" s="1"/>
  <c r="V25" i="33"/>
  <c r="W25" i="33" s="1"/>
  <c r="V280" i="33"/>
  <c r="W280" i="33" s="1"/>
  <c r="V274" i="33"/>
  <c r="W274" i="33" s="1"/>
  <c r="V261" i="33"/>
  <c r="W261" i="33" s="1"/>
  <c r="V248" i="33"/>
  <c r="W248" i="33" s="1"/>
  <c r="V242" i="33"/>
  <c r="W242" i="33" s="1"/>
  <c r="V235" i="33"/>
  <c r="W235" i="33" s="1"/>
  <c r="V165" i="33"/>
  <c r="W165" i="33" s="1"/>
  <c r="V152" i="33"/>
  <c r="W152" i="33" s="1"/>
  <c r="V139" i="33"/>
  <c r="W139" i="33" s="1"/>
  <c r="V107" i="33"/>
  <c r="W107" i="33" s="1"/>
  <c r="V69" i="33"/>
  <c r="W69" i="33" s="1"/>
  <c r="V56" i="33"/>
  <c r="W56" i="33" s="1"/>
  <c r="V43" i="33"/>
  <c r="W43" i="33" s="1"/>
  <c r="V291" i="33"/>
  <c r="W291" i="33" s="1"/>
  <c r="V240" i="33"/>
  <c r="W240" i="33" s="1"/>
  <c r="V190" i="33"/>
  <c r="W190" i="33" s="1"/>
  <c r="V174" i="33"/>
  <c r="W174" i="33" s="1"/>
  <c r="V157" i="33"/>
  <c r="W157" i="33" s="1"/>
  <c r="V106" i="33"/>
  <c r="W106" i="33" s="1"/>
  <c r="V87" i="33"/>
  <c r="W87" i="33" s="1"/>
  <c r="V71" i="33"/>
  <c r="W71" i="33" s="1"/>
  <c r="V36" i="33"/>
  <c r="W36" i="33" s="1"/>
  <c r="V23" i="33"/>
  <c r="W23" i="33" s="1"/>
  <c r="V285" i="33"/>
  <c r="W285" i="33" s="1"/>
  <c r="V234" i="33"/>
  <c r="W234" i="33" s="1"/>
  <c r="V189" i="33"/>
  <c r="W189" i="33" s="1"/>
  <c r="V138" i="33"/>
  <c r="W138" i="33" s="1"/>
  <c r="V119" i="33"/>
  <c r="W119" i="33" s="1"/>
  <c r="V103" i="33"/>
  <c r="W103" i="33" s="1"/>
  <c r="V68" i="33"/>
  <c r="W68" i="33" s="1"/>
  <c r="V52" i="33"/>
  <c r="W52" i="33" s="1"/>
  <c r="V35" i="33"/>
  <c r="W35" i="33" s="1"/>
  <c r="V176" i="33"/>
  <c r="W176" i="33" s="1"/>
  <c r="V227" i="33"/>
  <c r="W227" i="33" s="1"/>
  <c r="V170" i="33"/>
  <c r="W170" i="33" s="1"/>
  <c r="V151" i="33"/>
  <c r="W151" i="33" s="1"/>
  <c r="V135" i="33"/>
  <c r="W135" i="33" s="1"/>
  <c r="V100" i="33"/>
  <c r="W100" i="33" s="1"/>
  <c r="V84" i="33"/>
  <c r="W84" i="33" s="1"/>
  <c r="V67" i="33"/>
  <c r="W67" i="33" s="1"/>
  <c r="V49" i="33"/>
  <c r="W49" i="33" s="1"/>
  <c r="V34" i="33"/>
  <c r="W34" i="33" s="1"/>
  <c r="V21" i="33"/>
  <c r="W21" i="33" s="1"/>
  <c r="V125" i="33"/>
  <c r="W125" i="33" s="1"/>
  <c r="V272" i="33"/>
  <c r="W272" i="33" s="1"/>
  <c r="V221" i="33"/>
  <c r="W221" i="33" s="1"/>
  <c r="V183" i="33"/>
  <c r="W183" i="33" s="1"/>
  <c r="V167" i="33"/>
  <c r="W167" i="33" s="1"/>
  <c r="V132" i="33"/>
  <c r="W132" i="33" s="1"/>
  <c r="V116" i="33"/>
  <c r="W116" i="33" s="1"/>
  <c r="V99" i="33"/>
  <c r="W99" i="33" s="1"/>
  <c r="V81" i="33"/>
  <c r="W81" i="33" s="1"/>
  <c r="V65" i="33"/>
  <c r="W65" i="33" s="1"/>
  <c r="V48" i="33"/>
  <c r="W48" i="33" s="1"/>
  <c r="V33" i="33"/>
  <c r="W33" i="33" s="1"/>
  <c r="V74" i="33"/>
  <c r="W74" i="33" s="1"/>
  <c r="V39" i="33"/>
  <c r="W39" i="33" s="1"/>
  <c r="V266" i="33"/>
  <c r="W266" i="33" s="1"/>
  <c r="V164" i="33"/>
  <c r="W164" i="33" s="1"/>
  <c r="V148" i="33"/>
  <c r="W148" i="33" s="1"/>
  <c r="V131" i="33"/>
  <c r="W131" i="33" s="1"/>
  <c r="V113" i="33"/>
  <c r="W113" i="33" s="1"/>
  <c r="V97" i="33"/>
  <c r="W97" i="33" s="1"/>
  <c r="V80" i="33"/>
  <c r="W80" i="33" s="1"/>
  <c r="V62" i="33"/>
  <c r="W62" i="33" s="1"/>
  <c r="V46" i="33"/>
  <c r="W46" i="33" s="1"/>
  <c r="V30" i="33"/>
  <c r="W30" i="33" s="1"/>
  <c r="V195" i="33"/>
  <c r="W195" i="33" s="1"/>
  <c r="V259" i="33"/>
  <c r="W259" i="33" s="1"/>
  <c r="V208" i="33"/>
  <c r="W208" i="33" s="1"/>
  <c r="V180" i="33"/>
  <c r="W180" i="33" s="1"/>
  <c r="V163" i="33"/>
  <c r="W163" i="33" s="1"/>
  <c r="V145" i="33"/>
  <c r="W145" i="33" s="1"/>
  <c r="V129" i="33"/>
  <c r="W129" i="33" s="1"/>
  <c r="V112" i="33"/>
  <c r="W112" i="33" s="1"/>
  <c r="V94" i="33"/>
  <c r="W94" i="33" s="1"/>
  <c r="V78" i="33"/>
  <c r="W78" i="33" s="1"/>
  <c r="V61" i="33"/>
  <c r="W61" i="33" s="1"/>
  <c r="V29" i="33"/>
  <c r="W29" i="33" s="1"/>
  <c r="V158" i="33"/>
  <c r="W158" i="33" s="1"/>
  <c r="V253" i="33"/>
  <c r="W253" i="33" s="1"/>
  <c r="V202" i="33"/>
  <c r="W202" i="33" s="1"/>
  <c r="V177" i="33"/>
  <c r="W177" i="33" s="1"/>
  <c r="V161" i="33"/>
  <c r="W161" i="33" s="1"/>
  <c r="V144" i="33"/>
  <c r="W144" i="33" s="1"/>
  <c r="V126" i="33"/>
  <c r="W126" i="33" s="1"/>
  <c r="V110" i="33"/>
  <c r="W110" i="33" s="1"/>
  <c r="V93" i="33"/>
  <c r="W93" i="33" s="1"/>
  <c r="V42" i="33"/>
  <c r="W42" i="33" s="1"/>
  <c r="V27" i="33"/>
  <c r="W27" i="33" s="1"/>
  <c r="V142" i="33"/>
  <c r="W142" i="33" s="1"/>
  <c r="V55" i="33"/>
  <c r="W55" i="33" s="1"/>
  <c r="V303" i="33"/>
  <c r="U14" i="33"/>
  <c r="W293" i="33" l="1"/>
  <c r="P9" i="33"/>
  <c r="A23" i="12" l="1"/>
  <c r="A24" i="12" s="1"/>
  <c r="A25" i="12" s="1"/>
  <c r="A26" i="12" s="1"/>
  <c r="I18" i="15" l="1"/>
  <c r="F22" i="12" l="1"/>
  <c r="F21" i="15"/>
  <c r="G17" i="15"/>
  <c r="G16" i="15"/>
  <c r="B3" i="15"/>
  <c r="A1" i="15"/>
  <c r="C22" i="12"/>
  <c r="A11" i="12"/>
  <c r="H1" i="12"/>
  <c r="H66" i="12"/>
  <c r="H63" i="12"/>
  <c r="F47" i="12"/>
  <c r="F46" i="12"/>
  <c r="F44" i="12"/>
  <c r="H33" i="12"/>
  <c r="H32" i="12"/>
  <c r="H31" i="12"/>
  <c r="H30" i="12"/>
  <c r="H29" i="12"/>
  <c r="H28" i="12"/>
  <c r="H27" i="12"/>
  <c r="H26" i="12"/>
  <c r="H25" i="12"/>
  <c r="H24" i="12"/>
  <c r="A28" i="12"/>
  <c r="A29" i="12" s="1"/>
  <c r="A30" i="12" s="1"/>
  <c r="A31" i="12" s="1"/>
  <c r="A32" i="12" s="1"/>
  <c r="A33" i="12" s="1"/>
  <c r="G20" i="12"/>
  <c r="G35" i="12" s="1"/>
  <c r="G39" i="12" s="1"/>
  <c r="H19" i="12"/>
  <c r="A19" i="12"/>
  <c r="H18" i="12"/>
  <c r="H20" i="12" l="1"/>
  <c r="F34" i="12"/>
  <c r="F35" i="12" l="1"/>
  <c r="W300" i="34" s="1"/>
  <c r="W301" i="34" s="1"/>
  <c r="W302" i="34" s="1"/>
  <c r="W303" i="34" s="1"/>
  <c r="W304" i="34" s="1"/>
  <c r="W296" i="33"/>
  <c r="F37" i="12" l="1"/>
  <c r="F38" i="12" s="1"/>
  <c r="F39" i="12" s="1"/>
  <c r="F48" i="12" s="1"/>
  <c r="F53" i="12" s="1"/>
  <c r="F55" i="12" s="1"/>
  <c r="F56" i="12" s="1"/>
  <c r="F58" i="12" s="1"/>
  <c r="F59" i="12" s="1"/>
  <c r="F67" i="12" s="1"/>
  <c r="H23" i="12"/>
  <c r="F42" i="12" l="1"/>
  <c r="Y6" i="6"/>
  <c r="Z6" i="6"/>
  <c r="AA6" i="6"/>
  <c r="AB6" i="6"/>
  <c r="AD6" i="6"/>
  <c r="AE6" i="6"/>
  <c r="AF6" i="6"/>
  <c r="AG6" i="6"/>
  <c r="AH6" i="6"/>
  <c r="AI6" i="6"/>
  <c r="U14" i="6" l="1"/>
  <c r="AC20" i="6" l="1"/>
  <c r="Z20" i="6"/>
  <c r="AC19" i="6"/>
  <c r="Z19" i="6"/>
  <c r="Z16" i="6"/>
  <c r="AE16" i="6" s="1"/>
  <c r="U294" i="6" l="1"/>
  <c r="U295" i="6" s="1"/>
  <c r="U296" i="6" l="1"/>
  <c r="U297" i="6" s="1"/>
  <c r="U299" i="6" s="1"/>
  <c r="U300" i="6" s="1"/>
  <c r="E22" i="12" s="1"/>
  <c r="E34" i="12" s="1"/>
  <c r="E35" i="12" s="1"/>
  <c r="E37" i="12" l="1"/>
  <c r="E38" i="12" s="1"/>
  <c r="E39" i="12" s="1"/>
  <c r="T294" i="6"/>
  <c r="T295" i="6" s="1"/>
  <c r="E41" i="12" l="1"/>
  <c r="T296" i="6"/>
  <c r="T297" i="6" s="1"/>
  <c r="D22" i="12" s="1"/>
  <c r="D34" i="12" l="1"/>
  <c r="E42" i="12"/>
  <c r="E47" i="12"/>
  <c r="E48" i="12" s="1"/>
  <c r="E53" i="12" s="1"/>
  <c r="E55" i="12" s="1"/>
  <c r="E56" i="12" s="1"/>
  <c r="E58" i="12" s="1"/>
  <c r="E59" i="12" s="1"/>
  <c r="E67" i="12" s="1"/>
  <c r="E43" i="12"/>
  <c r="T299" i="6"/>
  <c r="T300" i="6" s="1"/>
  <c r="D35" i="12" l="1"/>
  <c r="H22" i="12"/>
  <c r="H34" i="12" s="1"/>
  <c r="E44" i="12"/>
  <c r="E45" i="12"/>
  <c r="E46" i="12" s="1"/>
  <c r="P9" i="6"/>
  <c r="H35" i="12" l="1"/>
  <c r="H64" i="12"/>
  <c r="D37" i="12"/>
  <c r="D38" i="12" s="1"/>
  <c r="H62" i="12" l="1"/>
  <c r="H37" i="12"/>
  <c r="G7" i="12" s="1"/>
  <c r="G65" i="12"/>
  <c r="H65" i="12" s="1"/>
  <c r="D39" i="12"/>
  <c r="H38" i="12"/>
  <c r="G45" i="12" l="1"/>
  <c r="D41" i="12"/>
  <c r="H39" i="12"/>
  <c r="D42" i="12" l="1"/>
  <c r="H41" i="12"/>
  <c r="G46" i="12"/>
  <c r="G47" i="12"/>
  <c r="G48" i="12" s="1"/>
  <c r="H45" i="12"/>
  <c r="D43" i="12" l="1"/>
  <c r="D44" i="12" s="1"/>
  <c r="H42" i="12"/>
  <c r="H44" i="12" l="1"/>
  <c r="D48" i="12"/>
  <c r="D46" i="12"/>
  <c r="H46" i="12" s="1"/>
  <c r="D47" i="12"/>
  <c r="H47" i="12" s="1"/>
  <c r="H43" i="12"/>
  <c r="H48" i="12" l="1"/>
  <c r="G51" i="12"/>
  <c r="H51" i="12" s="1"/>
  <c r="G50" i="12"/>
  <c r="D53" i="12"/>
  <c r="G52" i="12" l="1"/>
  <c r="H50" i="12"/>
  <c r="D55" i="12"/>
  <c r="D56" i="12" l="1"/>
  <c r="G53" i="12"/>
  <c r="H52" i="12"/>
  <c r="G55" i="12" l="1"/>
  <c r="H53" i="12"/>
  <c r="D58" i="12"/>
  <c r="D59" i="12" l="1"/>
  <c r="H58" i="12"/>
  <c r="G56" i="12"/>
  <c r="H55" i="12"/>
  <c r="G59" i="12" l="1"/>
  <c r="G67" i="12" s="1"/>
  <c r="H56" i="12"/>
  <c r="D67" i="12"/>
  <c r="I67" i="12" l="1"/>
  <c r="Y300" i="33"/>
  <c r="Y304" i="34"/>
  <c r="Z304" i="34" s="1"/>
  <c r="H59" i="12"/>
  <c r="H67" i="12" s="1"/>
  <c r="G5" i="12" s="1"/>
  <c r="A43" i="12"/>
  <c r="A45" i="12" s="1"/>
  <c r="A50" i="12"/>
  <c r="A51" i="12" s="1"/>
  <c r="A55" i="12" s="1"/>
  <c r="A62" i="12" s="1"/>
  <c r="A64" i="12" s="1"/>
  <c r="W294" i="33"/>
  <c r="W295" i="33" s="1"/>
  <c r="W297" i="33" s="1"/>
  <c r="X296" i="33" l="1"/>
  <c r="W298" i="33"/>
  <c r="W299" i="33" s="1"/>
  <c r="W300" i="33" s="1"/>
  <c r="Z300" i="33" s="1"/>
  <c r="X297" i="33" l="1"/>
  <c r="A181" i="6"/>
  <c r="A185" i="6" s="1"/>
  <c r="A187" i="6" s="1"/>
  <c r="A192" i="6" s="1"/>
  <c r="A195" i="6" s="1"/>
  <c r="A198" i="6" s="1"/>
  <c r="A202" i="6" s="1"/>
  <c r="A205" i="6" s="1"/>
  <c r="A207" i="6" s="1"/>
  <c r="A211" i="6" s="1"/>
  <c r="A213" i="6" s="1"/>
  <c r="A215" i="6" s="1"/>
  <c r="A220" i="6" s="1"/>
  <c r="A222" i="6" s="1"/>
  <c r="A224" i="6" s="1"/>
  <c r="A227" i="6" s="1"/>
  <c r="A231" i="6" s="1"/>
  <c r="A233" i="6" s="1"/>
  <c r="A235" i="6" s="1"/>
  <c r="A237" i="6" s="1"/>
  <c r="A239" i="6" s="1"/>
  <c r="A241" i="6" s="1"/>
  <c r="A243" i="6" s="1"/>
  <c r="A245" i="6" s="1"/>
  <c r="A247" i="6" s="1"/>
  <c r="A250" i="6" s="1"/>
  <c r="A252" i="6" s="1"/>
  <c r="A254" i="6" s="1"/>
  <c r="A256" i="6" s="1"/>
  <c r="A258" i="6" s="1"/>
  <c r="A261" i="6" s="1"/>
  <c r="A263" i="6" s="1"/>
  <c r="A265" i="6" s="1"/>
  <c r="A267" i="6" s="1"/>
  <c r="A269" i="6" s="1"/>
  <c r="A271" i="6" s="1"/>
  <c r="A273" i="6" s="1"/>
  <c r="A277" i="6" s="1"/>
  <c r="A283" i="6" s="1"/>
  <c r="A287" i="6" s="1"/>
  <c r="A289" i="6" s="1"/>
  <c r="A291" i="6" s="1"/>
</calcChain>
</file>

<file path=xl/sharedStrings.xml><?xml version="1.0" encoding="utf-8"?>
<sst xmlns="http://schemas.openxmlformats.org/spreadsheetml/2006/main" count="2259" uniqueCount="538">
  <si>
    <t>Բ Ա Ց Ա Տ Ր Ա Գ Ի Ր</t>
  </si>
  <si>
    <t>գրության հիման վրա՝   նախագծի աշխատանքային ծավալների համապատասխան:</t>
  </si>
  <si>
    <t xml:space="preserve">Նյութերի այն արժեքները, որոնք բացակայում են ինֆորմացիոն տեղեկագրքից վերցված են </t>
  </si>
  <si>
    <t xml:space="preserve"> մոնիտորինգի արդյունքով, շուկայական գներով:</t>
  </si>
  <si>
    <t xml:space="preserve">         Նախահաշիվը կազմված է հետևյալ նորմատիվային փաստաթղթերով. </t>
  </si>
  <si>
    <r>
      <t xml:space="preserve">              </t>
    </r>
    <r>
      <rPr>
        <b/>
        <sz val="11"/>
        <color theme="1"/>
        <rFont val="Sylfaen"/>
        <family val="1"/>
      </rPr>
      <t xml:space="preserve"> •  </t>
    </r>
    <r>
      <rPr>
        <sz val="11"/>
        <color theme="1"/>
        <rFont val="Sylfaen"/>
        <family val="1"/>
      </rPr>
      <t xml:space="preserve">СНuП IV-5-82,         </t>
    </r>
  </si>
  <si>
    <r>
      <t xml:space="preserve">             </t>
    </r>
    <r>
      <rPr>
        <b/>
        <sz val="11"/>
        <color theme="1"/>
        <rFont val="Sylfaen"/>
        <family val="1"/>
      </rPr>
      <t xml:space="preserve">  •  </t>
    </r>
    <r>
      <rPr>
        <sz val="11"/>
        <color theme="1"/>
        <rFont val="Sylfaen"/>
        <family val="1"/>
      </rPr>
      <t xml:space="preserve">СНuП IV-2-82 </t>
    </r>
  </si>
  <si>
    <t xml:space="preserve">                   պատրաստվածքների կողմնորոշիչ  գներ:</t>
  </si>
  <si>
    <t xml:space="preserve">         Միջին աշխատավարձի  չափը կազմում է </t>
  </si>
  <si>
    <t xml:space="preserve">  հազ. դրամ, </t>
  </si>
  <si>
    <t xml:space="preserve">         Հիմնական աշխատանքի ինդեքսը կազմում է </t>
  </si>
  <si>
    <t>:</t>
  </si>
  <si>
    <t xml:space="preserve">         Մեքենամեխանիզմների շահագործման ինդեքսը կազմում է </t>
  </si>
  <si>
    <r>
      <rPr>
        <b/>
        <sz val="11"/>
        <color theme="1"/>
        <rFont val="Sylfaen"/>
        <family val="1"/>
      </rPr>
      <t xml:space="preserve">              •  </t>
    </r>
    <r>
      <rPr>
        <sz val="11"/>
        <color theme="1"/>
        <rFont val="Sylfaen"/>
        <family val="1"/>
      </rPr>
      <t>Վերադիր ծախսերը կազմում են – 13.3%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</si>
  <si>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Շահույթը- 11%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</si>
  <si>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Տրանսպորտային ծախսեր – </t>
    </r>
  </si>
  <si>
    <t>%</t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</si>
  <si>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Պահեստավորման ծախսեր- 2%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</si>
  <si>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Այլ նյութեր- 5%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</si>
  <si>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ԱԱՀ-20%</t>
    </r>
  </si>
  <si>
    <t xml:space="preserve"> </t>
  </si>
  <si>
    <t>Պատվիրատու՝</t>
  </si>
  <si>
    <t>Հաստատված է</t>
  </si>
  <si>
    <t xml:space="preserve">(հաստատման ժամկետը)        </t>
  </si>
  <si>
    <t xml:space="preserve">      Ամփոփ նախահաշվային հաշվարկի ընդհանուր գումար՝</t>
  </si>
  <si>
    <t>հազ. դրամ</t>
  </si>
  <si>
    <t>Այդ թվում վերադարձվող գումար՝</t>
  </si>
  <si>
    <t>ՇԻՆԱՐԱՐՈՒԹՅԱՆ ԱՐԺԵՔԻ ԱՄՓՈՓ ՆԱԽԱՀԱՇՎԱՅԻՆ ՀԱՇՎԱՐԿ</t>
  </si>
  <si>
    <t>(կառույցի անվանումը)</t>
  </si>
  <si>
    <t xml:space="preserve">№
Հ/Հ </t>
  </si>
  <si>
    <t>№№
Նախահաշվի և հաշվարկի համարը</t>
  </si>
  <si>
    <t>Կառույցի, մասերի, աշխատանքների և ծախսերի անվանումը</t>
  </si>
  <si>
    <t>Նախահաշվային արժեքը  (հազ. դրամ)</t>
  </si>
  <si>
    <t>Շինմոնտաժային աշխատանքներ</t>
  </si>
  <si>
    <t>Այդ թվում նյութա-տեխնիկական ռեսուրսները</t>
  </si>
  <si>
    <t>Սարքավորում</t>
  </si>
  <si>
    <t>Այլ ծախսեր</t>
  </si>
  <si>
    <t xml:space="preserve">Ընդամենը նախահաշվային արժեք  
(հազ. դրամ) </t>
  </si>
  <si>
    <t>Գլուխ 2. Շինարարության հիմնական օբյեկտներ</t>
  </si>
  <si>
    <t>ԼՆ 1</t>
  </si>
  <si>
    <t>Ընդամենը գլուխ 2:</t>
  </si>
  <si>
    <t>ԸՆԴԱՄԵՆԸ  ԳԼՈՒԽՆԵՐ 1-7:</t>
  </si>
  <si>
    <t xml:space="preserve">Գլուխ 8. Ժամանակավոր կառույցներ և շինություներ </t>
  </si>
  <si>
    <t xml:space="preserve">Ժամանակավոր կառույցներ և շինություներ </t>
  </si>
  <si>
    <t>Ընդամենը գլուխ 8:</t>
  </si>
  <si>
    <t>ԸՆԴԱՄԵՆԸ  ԳԼՈՒԽՆԵՐ 1-8:</t>
  </si>
  <si>
    <t>Գլուխ 9. Այլ աշխատանքներ և ծախսեր</t>
  </si>
  <si>
    <t>Ընդամենը գլուխ 9:</t>
  </si>
  <si>
    <t>ԸՆԴԱՄԵՆԸ  ԳԼՈՒԽՆԵՐ 1-9:</t>
  </si>
  <si>
    <t>Գլուխ 10. Տեխնիկական և հեղինակային հսկողություն ծախսեր</t>
  </si>
  <si>
    <t>Ընդամենը գլուխ 10:</t>
  </si>
  <si>
    <t>ԸՆԴԱՄԵՆԸ  ԳԼՈՒԽՆԵՐ 1-10:</t>
  </si>
  <si>
    <t>Չնախատեսնված աշխատանքների ծախսեր</t>
  </si>
  <si>
    <t>Չնախատեսնված աշխատանքներ և ծախսեր</t>
  </si>
  <si>
    <t>ԸՆԴԱՄԵՆԸ:</t>
  </si>
  <si>
    <t>ԱԱՀ</t>
  </si>
  <si>
    <t>Ընդամենը ներառյալ ԱԱՀ</t>
  </si>
  <si>
    <t>Գլուխ 12. Նախագծանախահաշվային աշխատանքների և փորձաքննության ծախսեր</t>
  </si>
  <si>
    <t>Պարտադիր փորձաքննության ծախսեր (ներառյալ ԱԱՀ)</t>
  </si>
  <si>
    <t>Ընդամենը գլուխ 12:</t>
  </si>
  <si>
    <t xml:space="preserve">Получение технических условий на электроснабжение от ЗАО "Электрические сети Армении" </t>
  </si>
  <si>
    <t>ԸՆԴԱՄԵՆԸ ԱՄՓՈՓ ՆԱԽԱՀԱՇՎՈՎ:</t>
  </si>
  <si>
    <t>Կազմեց՝</t>
  </si>
  <si>
    <t xml:space="preserve">Շինարարության անվանումը </t>
  </si>
  <si>
    <t>Երևան</t>
  </si>
  <si>
    <t>Արմավիր</t>
  </si>
  <si>
    <t>Արարատ</t>
  </si>
  <si>
    <t>Արագածոտն</t>
  </si>
  <si>
    <t xml:space="preserve">Կոտայք </t>
  </si>
  <si>
    <t>Գեղարքունիք</t>
  </si>
  <si>
    <t>Վայոց Ձոր</t>
  </si>
  <si>
    <t>Լոռի</t>
  </si>
  <si>
    <t xml:space="preserve">Շիրակ </t>
  </si>
  <si>
    <t>Սյունիք</t>
  </si>
  <si>
    <t>Տավուշ</t>
  </si>
  <si>
    <t xml:space="preserve">Տեղային նախահաշիվ թիվ </t>
  </si>
  <si>
    <t>1</t>
  </si>
  <si>
    <t>Տրանսպորտ</t>
  </si>
  <si>
    <t>K Նյութ</t>
  </si>
  <si>
    <t>Հիմք</t>
  </si>
  <si>
    <t>Նախահաշվային արժեքը</t>
  </si>
  <si>
    <t xml:space="preserve">Միջին աշխատավարձը </t>
  </si>
  <si>
    <t>դրամ</t>
  </si>
  <si>
    <t>Նյութեր</t>
  </si>
  <si>
    <t>-</t>
  </si>
  <si>
    <t xml:space="preserve">Անցումային գործակիցները: 
</t>
  </si>
  <si>
    <t>աշխատավարձի -</t>
  </si>
  <si>
    <t>մեքենաների շահագործման -</t>
  </si>
  <si>
    <t xml:space="preserve">Հ/Հ
</t>
  </si>
  <si>
    <t>Շիֆր, նորմատիվի համար</t>
  </si>
  <si>
    <t xml:space="preserve">Աշխատանքների անվանումը </t>
  </si>
  <si>
    <t>Չափման միավորը</t>
  </si>
  <si>
    <t>Քանակը</t>
  </si>
  <si>
    <t>Աշխատավարձի միավորը ռուբ./հազար դրամ</t>
  </si>
  <si>
    <t xml:space="preserve">Մեքեն.շահագործման միավորը ռուբ./հազար դրամ </t>
  </si>
  <si>
    <t>Նյութեր անվանումը (հազար դրամ)</t>
  </si>
  <si>
    <t>Միավորի արժեքը հազար դրամ</t>
  </si>
  <si>
    <t>Միավորի ընդհանուր արժեքը  հազար դրամ</t>
  </si>
  <si>
    <t>Ընդհանուր արժեքը հազար դրամ</t>
  </si>
  <si>
    <t xml:space="preserve">Նյութերի ընդհանուրի արժեքը հազար դրամ </t>
  </si>
  <si>
    <t xml:space="preserve">Ասֆալտ </t>
  </si>
  <si>
    <t xml:space="preserve">Խճի քանդում </t>
  </si>
  <si>
    <t xml:space="preserve">Քանդում խրամուղի </t>
  </si>
  <si>
    <t>Քանդում փոսեր</t>
  </si>
  <si>
    <t>Ետլիցք բուլդոզեր</t>
  </si>
  <si>
    <t xml:space="preserve">Ետլիցք ձեռք </t>
  </si>
  <si>
    <t xml:space="preserve">Ավելորդ գրունտ </t>
  </si>
  <si>
    <t>բալանս</t>
  </si>
  <si>
    <t>Նյութերի անվանումը</t>
  </si>
  <si>
    <t>չափման միավորը</t>
  </si>
  <si>
    <t xml:space="preserve">Քանակը միավորի համար </t>
  </si>
  <si>
    <t xml:space="preserve">Նյութերի ընդհանուր ծախսը </t>
  </si>
  <si>
    <t>Նյութերի միավորի արժեքը  (Գ)</t>
  </si>
  <si>
    <t>Դիամետր</t>
  </si>
  <si>
    <t xml:space="preserve">երկարություն </t>
  </si>
  <si>
    <t xml:space="preserve">Խողովակի ծավալ </t>
  </si>
  <si>
    <t>մ</t>
  </si>
  <si>
    <t>Ընդամենը</t>
  </si>
  <si>
    <t>Վերադիր ծախսեր</t>
  </si>
  <si>
    <t>Շահույթ</t>
  </si>
  <si>
    <t>*Սարքավորում</t>
  </si>
  <si>
    <t>Ընդամենը նախահաշվով</t>
  </si>
  <si>
    <r>
      <t>մ</t>
    </r>
    <r>
      <rPr>
        <vertAlign val="superscript"/>
        <sz val="9"/>
        <rFont val="Sylfaen"/>
        <family val="1"/>
      </rPr>
      <t>2</t>
    </r>
  </si>
  <si>
    <t>գմ</t>
  </si>
  <si>
    <t>կգ</t>
  </si>
  <si>
    <t>25-392</t>
  </si>
  <si>
    <t>կմ</t>
  </si>
  <si>
    <t>13-121   
գ-2</t>
  </si>
  <si>
    <t>լուծիչ</t>
  </si>
  <si>
    <t xml:space="preserve">նախաներկ ГФ - 021   </t>
  </si>
  <si>
    <t>յուղաներկ</t>
  </si>
  <si>
    <t>ԼՆ 6</t>
  </si>
  <si>
    <t>Միավորի ընդհանուր արժեքը հազար դրամ</t>
  </si>
  <si>
    <t>5</t>
  </si>
  <si>
    <t>6</t>
  </si>
  <si>
    <t xml:space="preserve">Սարքավորում </t>
  </si>
  <si>
    <t xml:space="preserve">Ընդամենը </t>
  </si>
  <si>
    <t>ԼՆ 7</t>
  </si>
  <si>
    <t>Ձմեռային թանկացումներ</t>
  </si>
  <si>
    <t>Փոքր ծավալի աշխատանքներ</t>
  </si>
  <si>
    <t>Շինարարական  աղբի հեռացում</t>
  </si>
  <si>
    <t>Տեխնիկական հսկողություն  (ներառյալ հարկերը)</t>
  </si>
  <si>
    <t xml:space="preserve"> Հեղինակային հսկողություն (ներառյալ հարկերը)</t>
  </si>
  <si>
    <t>Նախագծանախահաշվային աշխատանքների ծախսեր ներառյալ հարկերը</t>
  </si>
  <si>
    <t xml:space="preserve">        </t>
  </si>
  <si>
    <t xml:space="preserve">Կազմեց`                                         </t>
  </si>
  <si>
    <t xml:space="preserve">Կազմեց`                                                           </t>
  </si>
  <si>
    <t>15-613</t>
  </si>
  <si>
    <t>22-362</t>
  </si>
  <si>
    <t>Ձևավոր մասեր</t>
  </si>
  <si>
    <t>Прибыль</t>
  </si>
  <si>
    <t>Всего</t>
  </si>
  <si>
    <t>НДС</t>
  </si>
  <si>
    <t>Итого</t>
  </si>
  <si>
    <t>*Oборудование</t>
  </si>
  <si>
    <t>ВСЕГО ПО СМЕТЕ</t>
  </si>
  <si>
    <t xml:space="preserve">№ п/п
</t>
  </si>
  <si>
    <t>Наименование работ и затрат</t>
  </si>
  <si>
    <t>Единица измерения</t>
  </si>
  <si>
    <t>Количество</t>
  </si>
  <si>
    <t>Общая стоимость единицы, тысяча драм</t>
  </si>
  <si>
    <t>Ծավալաթերթ-Նախահաշիվ</t>
  </si>
  <si>
    <t>Объем-лист смета</t>
  </si>
  <si>
    <t>22-87</t>
  </si>
  <si>
    <t>հատ</t>
  </si>
  <si>
    <t>ԼՆ 2</t>
  </si>
  <si>
    <t>ԼՆ 3</t>
  </si>
  <si>
    <t>ԼՆ 4</t>
  </si>
  <si>
    <t>ԼՆ 5</t>
  </si>
  <si>
    <t>ԼՆ 8</t>
  </si>
  <si>
    <t>ԼՆ 9</t>
  </si>
  <si>
    <t>ԼՆ 10</t>
  </si>
  <si>
    <t>ԼՆ 11</t>
  </si>
  <si>
    <t>ԼՆ 12</t>
  </si>
  <si>
    <t xml:space="preserve">№ </t>
  </si>
  <si>
    <t>Ընդհանուր արժեքը արտահայտված տոկոսով</t>
  </si>
  <si>
    <t>Սնող գազատար</t>
  </si>
  <si>
    <t>Общая стоимость процентами</t>
  </si>
  <si>
    <t xml:space="preserve">                                                Составил                                                          </t>
  </si>
  <si>
    <t>1-966</t>
  </si>
  <si>
    <r>
      <t>մ</t>
    </r>
    <r>
      <rPr>
        <vertAlign val="superscript"/>
        <sz val="9"/>
        <rFont val="Sylfaen"/>
        <family val="1"/>
      </rPr>
      <t>3</t>
    </r>
  </si>
  <si>
    <t>1-969</t>
  </si>
  <si>
    <t>6-13</t>
  </si>
  <si>
    <t>բետոն B-12.5</t>
  </si>
  <si>
    <r>
      <t>մ</t>
    </r>
    <r>
      <rPr>
        <vertAlign val="superscript"/>
        <sz val="8"/>
        <rFont val="Sylfaen"/>
        <family val="1"/>
      </rPr>
      <t>3</t>
    </r>
  </si>
  <si>
    <t>վահան</t>
  </si>
  <si>
    <r>
      <t>մ</t>
    </r>
    <r>
      <rPr>
        <vertAlign val="superscript"/>
        <sz val="8"/>
        <rFont val="Sylfaen"/>
        <family val="1"/>
      </rPr>
      <t>2</t>
    </r>
  </si>
  <si>
    <t>տախտակ</t>
  </si>
  <si>
    <t>9-153</t>
  </si>
  <si>
    <t>Պողպատե խողովակներ</t>
  </si>
  <si>
    <t>էլեկտրոդ</t>
  </si>
  <si>
    <t>շուկա</t>
  </si>
  <si>
    <t>Պարոնիտ</t>
  </si>
  <si>
    <t>8-472-6</t>
  </si>
  <si>
    <t>пм</t>
  </si>
  <si>
    <r>
      <t>м</t>
    </r>
    <r>
      <rPr>
        <vertAlign val="superscript"/>
        <sz val="9"/>
        <rFont val="Sylfaen"/>
        <family val="1"/>
      </rPr>
      <t>2</t>
    </r>
  </si>
  <si>
    <t>Продувка газопровода</t>
  </si>
  <si>
    <t>шт</t>
  </si>
  <si>
    <t xml:space="preserve">Установка фасонных частей </t>
  </si>
  <si>
    <t>кг</t>
  </si>
  <si>
    <t>Рытье ям вручную в грунтах IV категории</t>
  </si>
  <si>
    <r>
      <t>м</t>
    </r>
    <r>
      <rPr>
        <vertAlign val="superscript"/>
        <sz val="9"/>
        <rFont val="Sylfaen"/>
        <family val="1"/>
      </rPr>
      <t>3</t>
    </r>
  </si>
  <si>
    <t>Разравнивание лишнего грунта на месте вручную</t>
  </si>
  <si>
    <r>
      <t>м</t>
    </r>
    <r>
      <rPr>
        <vertAlign val="superscript"/>
        <sz val="8"/>
        <rFont val="Sylfaen"/>
        <family val="1"/>
      </rPr>
      <t>3</t>
    </r>
  </si>
  <si>
    <t>Бетонный фундамент под опоры  B12.5 (M150)</t>
  </si>
  <si>
    <t>Установка металлических стоек  d=76x3мм</t>
  </si>
  <si>
    <t>Установка металлических чаш под газопровод</t>
  </si>
  <si>
    <t>Паронит</t>
  </si>
  <si>
    <t>Պողպ. կոնստրուկցիաներ</t>
  </si>
  <si>
    <t>հեղյուս, մանեկ</t>
  </si>
  <si>
    <t xml:space="preserve">H-5մ  </t>
  </si>
  <si>
    <t>1-962</t>
  </si>
  <si>
    <t>1-970</t>
  </si>
  <si>
    <t>9-131</t>
  </si>
  <si>
    <t>շին. հեղյուս</t>
  </si>
  <si>
    <t>8-52-1</t>
  </si>
  <si>
    <t>Մեկուսիչներ</t>
  </si>
  <si>
    <t>8-471-2</t>
  </si>
  <si>
    <t>անկյունակ 63x63x5մմ</t>
  </si>
  <si>
    <t xml:space="preserve">պողպատ շերտ. 40х4մմ </t>
  </si>
  <si>
    <t>Монтаж неподвижных опор</t>
  </si>
  <si>
    <t xml:space="preserve"> Металлическая защитная сетка   H-5м  мест</t>
  </si>
  <si>
    <t>Разравнивание лишнего грунта на месте</t>
  </si>
  <si>
    <t>Осуществление металлической защитной сетки</t>
  </si>
  <si>
    <t>Изолятор  ШСА-10А</t>
  </si>
  <si>
    <t>Вертикальное заземление ( электрод из угловой оцинкованной стали 63x63x5м)</t>
  </si>
  <si>
    <t xml:space="preserve">Горизонтальное заземление (сталь полос. 4х40мм )  </t>
  </si>
  <si>
    <t>Գլուխ 1.  Տարածքի նախապատրաստում</t>
  </si>
  <si>
    <t>Ընդամենը գլուխ 1:</t>
  </si>
  <si>
    <t>տեղադրման, տեղափոխման, պահեստավորման և այլ նյութերի արժեքը</t>
  </si>
  <si>
    <t>23-1</t>
  </si>
  <si>
    <t>ավազ</t>
  </si>
  <si>
    <t>1-1593</t>
  </si>
  <si>
    <t>Գ III</t>
  </si>
  <si>
    <t>24-398</t>
  </si>
  <si>
    <t xml:space="preserve">խողովակ Ø32x3,0մմ </t>
  </si>
  <si>
    <t>պոկովկա</t>
  </si>
  <si>
    <t>22-90</t>
  </si>
  <si>
    <t xml:space="preserve">խողովակ Ø159x4.5մմ  </t>
  </si>
  <si>
    <t>թթվածին</t>
  </si>
  <si>
    <t>1-1551</t>
  </si>
  <si>
    <t>1-1553</t>
  </si>
  <si>
    <t>1-961</t>
  </si>
  <si>
    <t>1-940</t>
  </si>
  <si>
    <t>22-92</t>
  </si>
  <si>
    <t>խողովակ Ø273x6մմ</t>
  </si>
  <si>
    <t>22-242</t>
  </si>
  <si>
    <t>Ժապ. Литкор НК-ГАЗ</t>
  </si>
  <si>
    <t>Ժապավեն  (РАМ)</t>
  </si>
  <si>
    <t>Մածիկ ТРАНСКОР-ГАЗ</t>
  </si>
  <si>
    <t>խողովակ Ø159x4.5մմ</t>
  </si>
  <si>
    <t>22-240</t>
  </si>
  <si>
    <t>22-91</t>
  </si>
  <si>
    <t>խողովակ Ø219x6մմ</t>
  </si>
  <si>
    <t>22-241</t>
  </si>
  <si>
    <t>բիտում</t>
  </si>
  <si>
    <t>պակլյա</t>
  </si>
  <si>
    <t>22-511   գ-0,25 կիրառ.</t>
  </si>
  <si>
    <t xml:space="preserve">25-473   </t>
  </si>
  <si>
    <t>1-965</t>
  </si>
  <si>
    <t>՝</t>
  </si>
  <si>
    <t>6-83</t>
  </si>
  <si>
    <t>ամրան</t>
  </si>
  <si>
    <t>22-90   գ=0.6 ВСН 452-84    կիրառ.</t>
  </si>
  <si>
    <t>գազ պրոպան-բութան</t>
  </si>
  <si>
    <t>լ</t>
  </si>
  <si>
    <t xml:space="preserve">H-4մ  </t>
  </si>
  <si>
    <t>Խրամուղու ետլիցք   ձեռքով</t>
  </si>
  <si>
    <t xml:space="preserve">խողովակ Ø89x4.0մմ  </t>
  </si>
  <si>
    <t>22-89</t>
  </si>
  <si>
    <t xml:space="preserve">խողովակ Ø133x4մմ  </t>
  </si>
  <si>
    <t xml:space="preserve">խողովակ Ø76x3.5մմ  </t>
  </si>
  <si>
    <t>22-432</t>
  </si>
  <si>
    <t>պողպատե կցաշուրթ</t>
  </si>
  <si>
    <t>22-385</t>
  </si>
  <si>
    <t xml:space="preserve">Սողնակային փական 125մմ </t>
  </si>
  <si>
    <t>22-89   գ=0.6 ВСН 452-84    կիրառ.</t>
  </si>
  <si>
    <t xml:space="preserve">H-3մ  </t>
  </si>
  <si>
    <t xml:space="preserve">H-1.5մ  </t>
  </si>
  <si>
    <t>22-430</t>
  </si>
  <si>
    <t>22-384</t>
  </si>
  <si>
    <t xml:space="preserve">Սողնակային փական 80մմ </t>
  </si>
  <si>
    <t>Село  Газанчи</t>
  </si>
  <si>
    <t>Разработка траншеи вручную в грунтах   III кат.</t>
  </si>
  <si>
    <t>Разработка траншеи экскаватором в грунтах III кат.</t>
  </si>
  <si>
    <t>Разработка траншеи экскаватором в грунтах IV кат.</t>
  </si>
  <si>
    <t>Разработка траншеи вручную в грунтах   Vр</t>
  </si>
  <si>
    <t xml:space="preserve">Обратная засыпка  траншеи  вручную </t>
  </si>
  <si>
    <t>Устройство мягкой подушки под  трубопровод (песок без примеси) толщ. 0.1м и обсыпка  толщ. 0.2м</t>
  </si>
  <si>
    <t>тн</t>
  </si>
  <si>
    <t>Привоз песка с расстояния 10км</t>
  </si>
  <si>
    <t xml:space="preserve">Погрузка лишнего грунта вручную  в автосамосвалы   </t>
  </si>
  <si>
    <t>Перевозка  до 3 км</t>
  </si>
  <si>
    <t xml:space="preserve">Монтаж газопровода d-159x4.5мм с испытанием  </t>
  </si>
  <si>
    <t xml:space="preserve">Антикоррозионная изоляция  газопровода  Ду 150мм  армированной мастичной изоляцией (РАМ) </t>
  </si>
  <si>
    <t xml:space="preserve">Монтаж футляра D-219x6мм в траншее
</t>
  </si>
  <si>
    <t xml:space="preserve">Антикоррозионная изоляция  футляра Ø219x6 мм  армированной мастичной изоляцией (РАМ) </t>
  </si>
  <si>
    <t xml:space="preserve">Монтаж футляра D-273x6мм в траншее
</t>
  </si>
  <si>
    <t xml:space="preserve">Антикоррозионная изоляция  футляра Ду250мм   армированной мастичной изоляцией (РАМ) </t>
  </si>
  <si>
    <t>Монтаж контрольной трубы d-32 мм</t>
  </si>
  <si>
    <t>Заделка концов футляра газопровода битумом</t>
  </si>
  <si>
    <t>Просвечивание сварных стыков газопровода  методом радиография</t>
  </si>
  <si>
    <t>Рытье ям вручную в грунтах III кат.</t>
  </si>
  <si>
    <t>Рытье ям вручную в грунтах  Vр категории</t>
  </si>
  <si>
    <t>Металл. конструкции под стоек (арматура AIII)</t>
  </si>
  <si>
    <t>Установка металлических стоек  d-133x3.5мм</t>
  </si>
  <si>
    <t>Грунтовка газопровода и стоек лаком ГФ – 021  2 раза</t>
  </si>
  <si>
    <t>Окраска газопровода и стоек антикоррозионной масляной краской 2 раза</t>
  </si>
  <si>
    <t>Монтаж надземного газопровода с испытанием d-159x4.5мм</t>
  </si>
  <si>
    <t xml:space="preserve">Монтаж надземного газопровода с испытанием d-89x4мм 
</t>
  </si>
  <si>
    <t xml:space="preserve">Резка трубы dу-150мм </t>
  </si>
  <si>
    <t xml:space="preserve"> Металлическая защитная сетка   H-4м  мест</t>
  </si>
  <si>
    <t xml:space="preserve"> Металлическая защитная сетка   H-3м  мест</t>
  </si>
  <si>
    <t xml:space="preserve"> Металлическая защитная сетка   H-1.5м  мест</t>
  </si>
  <si>
    <t>Село Бавра</t>
  </si>
  <si>
    <t>Установка металлических стоек  d-108x3.5мм</t>
  </si>
  <si>
    <t xml:space="preserve">Монтаж надземного газопровода с испытанием d-133x4мм </t>
  </si>
  <si>
    <t xml:space="preserve">Монтаж надземного газопровода с испытанием d-76x3.5мм  
</t>
  </si>
  <si>
    <t>Монтаж фланцев Ду125</t>
  </si>
  <si>
    <t>Монтаж задвижки Ду125</t>
  </si>
  <si>
    <t xml:space="preserve">Резка трубы dу-125мм </t>
  </si>
  <si>
    <t>Село Сарагюх</t>
  </si>
  <si>
    <t>Рытье ям вручную в грунтах Vр категории</t>
  </si>
  <si>
    <t>Монтаж фланцев Ду80</t>
  </si>
  <si>
    <t>Монтаж задвижки Ду80</t>
  </si>
  <si>
    <t xml:space="preserve">Ընդամենը  </t>
  </si>
  <si>
    <t>տն</t>
  </si>
  <si>
    <t>1-1552</t>
  </si>
  <si>
    <t>мիավորի արժեքը հազար դրաм</t>
  </si>
  <si>
    <t>ԹԱՌԱԹՈՒՄԲ ԲՆԱԿԱՎԱՅՐ</t>
  </si>
  <si>
    <t>Տեխնոլոգիական աշխատանքներ</t>
  </si>
  <si>
    <t>Հողային աշխատանքներ</t>
  </si>
  <si>
    <t>1-1635</t>
  </si>
  <si>
    <t>բիտումա-պոլիմերային մածիկ</t>
  </si>
  <si>
    <t>ապակեգործվածք</t>
  </si>
  <si>
    <t>փաթթոցային թուղթ</t>
  </si>
  <si>
    <r>
      <t xml:space="preserve">              </t>
    </r>
    <r>
      <rPr>
        <b/>
        <sz val="11"/>
        <color theme="1"/>
        <rFont val="Sylfaen"/>
        <family val="1"/>
      </rPr>
      <t xml:space="preserve"> •  </t>
    </r>
    <r>
      <rPr>
        <sz val="11"/>
        <color theme="1"/>
        <rFont val="Sylfaen"/>
        <family val="1"/>
      </rPr>
      <t xml:space="preserve">“Ինֆորմացիոն տեղեկագիր” 10.2023թ.  շինարարական նյութերի, </t>
    </r>
  </si>
  <si>
    <t>Խրամուղու քանդում IV կարգի գրունտներում էքսկավատորով</t>
  </si>
  <si>
    <t xml:space="preserve">Устройство подушки под трубу из мягкого грунта толщ. 10см (песок без примесей) и обсыпка сверху толщ. 20 см вручную 
</t>
  </si>
  <si>
    <t>շուկա, գնահաշ.</t>
  </si>
  <si>
    <r>
      <t>м</t>
    </r>
    <r>
      <rPr>
        <vertAlign val="superscript"/>
        <sz val="9"/>
        <rFont val="Times New Roman"/>
        <family val="1"/>
      </rPr>
      <t>3</t>
    </r>
  </si>
  <si>
    <t>Обратная засыпка траншеи бульдозером в грунтах III кат.</t>
  </si>
  <si>
    <t>Խրամուղու ետլիցք  բուլդոզերով</t>
  </si>
  <si>
    <t>1-1554</t>
  </si>
  <si>
    <t>6-16</t>
  </si>
  <si>
    <t>9-46</t>
  </si>
  <si>
    <t>Մետաղական աստիճան</t>
  </si>
  <si>
    <t>մետաղ. կոնստրուկցիաներ</t>
  </si>
  <si>
    <t>մոնտաժ իրեր</t>
  </si>
  <si>
    <t>հեղյուս</t>
  </si>
  <si>
    <t>8-27</t>
  </si>
  <si>
    <t>Բետոնի մակերևույթի մեկուսացում բիտումով (2 անգամ)</t>
  </si>
  <si>
    <r>
      <t>մ</t>
    </r>
    <r>
      <rPr>
        <vertAlign val="superscript"/>
        <sz val="8"/>
        <rFont val="Times New Roman"/>
        <family val="1"/>
      </rPr>
      <t>2</t>
    </r>
  </si>
  <si>
    <t>պայմ․</t>
  </si>
  <si>
    <t>Խրամուղու քանդում V կարգի գրունտներում էքսկավատորով</t>
  </si>
  <si>
    <t>Разработка траншеи экскаватором в грунтах V кат.</t>
  </si>
  <si>
    <t>բետոն B-7.5</t>
  </si>
  <si>
    <t>E11-47 E11-48</t>
  </si>
  <si>
    <t>Բիտում</t>
  </si>
  <si>
    <t>E6-173</t>
  </si>
  <si>
    <t>7-768</t>
  </si>
  <si>
    <t>շաղախ</t>
  </si>
  <si>
    <t>15-614</t>
  </si>
  <si>
    <t>Մետաղական մակերևույթների յուղաներկում 2 անգամ</t>
  </si>
  <si>
    <t>D&lt;50мм труб</t>
  </si>
  <si>
    <t>օլիֆ</t>
  </si>
  <si>
    <t>ՊՕՖ-երի պատրաստում մետաղական էլեմենտներից (պողպատե խողովակներ, անկյունակ, շերտապողպատ և այլն)</t>
  </si>
  <si>
    <t>Ներդիր դետալներ</t>
  </si>
  <si>
    <t>իզոգամ</t>
  </si>
  <si>
    <t>ջուր</t>
  </si>
  <si>
    <t>8-11</t>
  </si>
  <si>
    <t>խիճ</t>
  </si>
  <si>
    <t>11-55
11-56</t>
  </si>
  <si>
    <t>ցեմետավազե շաղախ</t>
  </si>
  <si>
    <t>22-66</t>
  </si>
  <si>
    <t xml:space="preserve">Սեպավոր փական 100մմ </t>
  </si>
  <si>
    <t>22-431</t>
  </si>
  <si>
    <t>Ծխնի</t>
  </si>
  <si>
    <t>Փշալար</t>
  </si>
  <si>
    <t>Е-9-122</t>
  </si>
  <si>
    <t>Կախովի կողպեք</t>
  </si>
  <si>
    <t>կողպեք</t>
  </si>
  <si>
    <t>Վայոց Ձորի Եղեգիս համայնքի բնակավայրերի խմելու ջրի արտաքին ցանցի վերանորոգում</t>
  </si>
  <si>
    <t>Եղեգիս բնակավայրի խմելու ջրի արտաքին ցանցի վերանորոգում և ՕԿՋ-ի կառուցում</t>
  </si>
  <si>
    <t>ՕԿՋ V=10մ3</t>
  </si>
  <si>
    <t>Խրամուղու քանդում VI կարգի գրունտներում էքսկավատորով</t>
  </si>
  <si>
    <t>Разработка траншеи экскаватором в грунтах VI кат.</t>
  </si>
  <si>
    <r>
      <rPr>
        <b/>
        <i/>
        <sz val="11"/>
        <rFont val="Sylfaen"/>
        <family val="1"/>
      </rPr>
      <t xml:space="preserve">ՕԿՋ-ի շինարարական  աշխատանքներ     </t>
    </r>
    <r>
      <rPr>
        <b/>
        <sz val="11"/>
        <rFont val="Sylfaen"/>
        <family val="1"/>
      </rPr>
      <t xml:space="preserve">                       </t>
    </r>
  </si>
  <si>
    <t>6-1</t>
  </si>
  <si>
    <t>մ3</t>
  </si>
  <si>
    <t>Բետոնի նախապատրաստական շերտի իրականացում  B-7.5 (M150) դասի բետոնից</t>
  </si>
  <si>
    <t>Հատակի հիդրոտեխնիկական բետոնի իրականացում (F-150 W-4 B25) դասի</t>
  </si>
  <si>
    <t>Ամրան Ø=8մմ А500c</t>
  </si>
  <si>
    <t>Ամրան Ø=6մմ Аc1</t>
  </si>
  <si>
    <t>բետոն W-6 B-25</t>
  </si>
  <si>
    <t>6-145</t>
  </si>
  <si>
    <t>Ե/բ հատակի իրականացում F-150 W-6 B25 դասի հիդրոտեխնիկական բետոնով</t>
  </si>
  <si>
    <t>Ե/բ պատերի իրականացում F-150 W-6 B25 դասի հիդրոտեխնիկական բետոնով</t>
  </si>
  <si>
    <t>Ամրան Ø=12մմ А500c</t>
  </si>
  <si>
    <t>Միաձույլ ե/բ ծածկի սալի իրականացում F-150 W-6 B-25 դասի բետոնից</t>
  </si>
  <si>
    <t>Ե/բ պատերի իրականացում F-150 W-6 B-25 դասի բետոնից</t>
  </si>
  <si>
    <t xml:space="preserve">Պողպատե խողովակների տեղադրում   Ø219x6մմ
</t>
  </si>
  <si>
    <t xml:space="preserve">Монтаж труб  219x6мм 
</t>
  </si>
  <si>
    <t>Պողպատյա թիթեղ</t>
  </si>
  <si>
    <t>Ներդիր թերթապողպատ 60x100մմ</t>
  </si>
  <si>
    <t>22-511 գ-0,25 կիրառ.</t>
  </si>
  <si>
    <t>Պողպատե խողովակների ծայրերի հերմետիկացում բիտումով ու ց/ա շաղախով</t>
  </si>
  <si>
    <t>Ջրամեկուսացում երկշերտ բիտումի մածիկով</t>
  </si>
  <si>
    <t>Հատակի հարթեցնող շերտի իրականացում  20մմ հաստությամբ</t>
  </si>
  <si>
    <t>Антикоррозионная окраска металлических элементов 2 раза</t>
  </si>
  <si>
    <r>
      <t>м</t>
    </r>
    <r>
      <rPr>
        <vertAlign val="superscript"/>
        <sz val="9"/>
        <rFont val="Times New Roman"/>
        <family val="1"/>
      </rPr>
      <t>2</t>
    </r>
  </si>
  <si>
    <t>Ծախկի սալի ջրամեկուսացում երկշերտ բիտումի մածիկով</t>
  </si>
  <si>
    <t>9-123</t>
  </si>
  <si>
    <t>9-118</t>
  </si>
  <si>
    <t>Մետաղական մտոցի պատրաստում 4մմ  թերթապողպատից</t>
  </si>
  <si>
    <t>Մետաղական կափարիչի պատրաստում</t>
  </si>
  <si>
    <t>Խողովակի արժեքը Ø219x6մմ</t>
  </si>
  <si>
    <t>Խողովակի արժեքը Ø630x7մմ</t>
  </si>
  <si>
    <t>խողովակ Ø630x7մմ</t>
  </si>
  <si>
    <t xml:space="preserve">Մետաղական ճաղաշարի արժեքը </t>
  </si>
  <si>
    <t>ճաղաշար</t>
  </si>
  <si>
    <t>Ներքին տեխնոլոգիական աշխատանքներ</t>
  </si>
  <si>
    <t>խողովակ Ø108x4մմ</t>
  </si>
  <si>
    <t>խողովակ Ø89x4մմ</t>
  </si>
  <si>
    <t>16-69</t>
  </si>
  <si>
    <t xml:space="preserve">Պողպատե  խողովակների վերգետնյա տեղադրում լոացումով, քլորացումով Ø108x4մմ
</t>
  </si>
  <si>
    <t xml:space="preserve">Պողպատե  խողովակների վերգետնյա տեղադրում լոացումով, քլորացումով Ø89x4մմ
</t>
  </si>
  <si>
    <t>16-68</t>
  </si>
  <si>
    <t>Ձևավոր մասերի տեղադրում (արմունկ, եռաբաշխիչ, անցում, խցափակիչ)</t>
  </si>
  <si>
    <t>Установка фасонных частей (отвод 90°, тройник, переход, заглушка)</t>
  </si>
  <si>
    <t>Էլեկտրոդ</t>
  </si>
  <si>
    <t>Մետաղական ճաղավանդակ Ø=8մմ А500c ամրանից</t>
  </si>
  <si>
    <t>13-121 
գ-2</t>
  </si>
  <si>
    <t>Մետաղական մակերևույթների նախաներկում ГФ -021 2 շերտով</t>
  </si>
  <si>
    <t>Грунтовка металлических поверхностей грунтовкой ГФ -021 2 слоя</t>
  </si>
  <si>
    <t xml:space="preserve">նախաներկ ГФ - 021 </t>
  </si>
  <si>
    <t>6-2</t>
  </si>
  <si>
    <t>Հենարան B-12.5 դասի բետոնից</t>
  </si>
  <si>
    <t>Արտաքին խողովակաշարի հողային աշխատանքներ</t>
  </si>
  <si>
    <t xml:space="preserve">VII կարգի գրունտի փխրեցում էքսկավատոր- հիդրոմուրճով </t>
  </si>
  <si>
    <t>Разработка грунта гидромолотом в грунтах VII категории</t>
  </si>
  <si>
    <t>6-րդ կարգի բնահողի մշակում էքսկավատրով կողլիցք  /փխրեցված բնահող/</t>
  </si>
  <si>
    <t>0.1մ նստաշերտի ստեղծում խողովակի տակ և ծածկում  (ավազ առանց խառնուրդի) ձեռքով</t>
  </si>
  <si>
    <t>1-1634</t>
  </si>
  <si>
    <t>Обратная засыпка траншеи бульдозером в грунтах II кат.</t>
  </si>
  <si>
    <t>Խրամուղու ավազե ետլիցք  բուլդոզերով</t>
  </si>
  <si>
    <t>1-1705</t>
  </si>
  <si>
    <t>Перемещение грунта IV кат. до 10м бульдозером и разравнивание</t>
  </si>
  <si>
    <t>Ավելորդ գրունտի հարթեցում տեղում բուլդոզերով</t>
  </si>
  <si>
    <t>11-5</t>
  </si>
  <si>
    <t>ավազակոպիճ</t>
  </si>
  <si>
    <t>Ավազակոպիճային նախաշերտ</t>
  </si>
  <si>
    <t xml:space="preserve">Պողպատե ջրի խողովակների տեղադրում հիդրավլիկ փորձարկումով Ø108x4մմ 
</t>
  </si>
  <si>
    <t xml:space="preserve">խողովակ Ø108x4մմ </t>
  </si>
  <si>
    <t>22-65</t>
  </si>
  <si>
    <t xml:space="preserve">Պողպատե ջրի խողովակների տեղադրում հիդրավլիկ փորձարկումով Ø89x4մմ
</t>
  </si>
  <si>
    <t xml:space="preserve">Կցաշուրթերի մոնտաժում dպ-80մմ </t>
  </si>
  <si>
    <t xml:space="preserve">Приварка фланцев dу80мм </t>
  </si>
  <si>
    <t xml:space="preserve">Монтаж задвижки dу80мм </t>
  </si>
  <si>
    <t xml:space="preserve">Կցաշուրթերի մոնտաժում dպ-100մմ </t>
  </si>
  <si>
    <t xml:space="preserve">Приварка фланцев dу100мм </t>
  </si>
  <si>
    <t xml:space="preserve">Монтаж задвижки dу100мм </t>
  </si>
  <si>
    <t xml:space="preserve">Սեպավոր փականի տեղադրում dպ-80մմ </t>
  </si>
  <si>
    <t xml:space="preserve">Սեպավոր  փականի տեղադրում 100մմ </t>
  </si>
  <si>
    <t xml:space="preserve">Սեպավոր փական 80մմ </t>
  </si>
  <si>
    <t>22-165</t>
  </si>
  <si>
    <t>Ստորգետնյա պողպատե խողովակների մեկուսացում բիտումա-պոլիմերային շերտով Dպ100մմ</t>
  </si>
  <si>
    <t>22-164</t>
  </si>
  <si>
    <t>Ստորգետնյա պողպատե խողովակի մեկուսացում բիտումա-պոլիմերային շերտով Dպ80մմ</t>
  </si>
  <si>
    <t xml:space="preserve">Գոյություն ունեցող ջրագծերի կտրում dպ-100մմ </t>
  </si>
  <si>
    <t>22-399 գ-0.6</t>
  </si>
  <si>
    <t xml:space="preserve">22-399  </t>
  </si>
  <si>
    <t>Միացում գոյություն ունեցող ջրագծերին</t>
  </si>
  <si>
    <t>E22-446</t>
  </si>
  <si>
    <t>Ե/բ հավաքովի էլեմենտներից ջրամատակարարման կլոր դիտահորի պատրաստում Ф1,5մ ծածկի ու հատակի սալերով /1հատ/</t>
  </si>
  <si>
    <t>հավաք.ե/բ էլ.</t>
  </si>
  <si>
    <t>Շուկա</t>
  </si>
  <si>
    <t>Ե/Բ հորի մետաղական էլեմենտներ և ներդիր տարրեր</t>
  </si>
  <si>
    <t>Ե/Բ հավաքովի կլոր հոր, D=1.5մ, H=1.5մ (ՋՀ-1)</t>
  </si>
  <si>
    <t>բետոն B-7,5</t>
  </si>
  <si>
    <t xml:space="preserve">Թուջե մտոց </t>
  </si>
  <si>
    <t>Е22-314</t>
  </si>
  <si>
    <t>Խողովակի լվացում վարակազերծումով Dպ-100մմ</t>
  </si>
  <si>
    <r>
      <t>մ</t>
    </r>
    <r>
      <rPr>
        <vertAlign val="superscript"/>
        <sz val="8"/>
        <rFont val="Arial Armenian"/>
        <family val="2"/>
      </rPr>
      <t>3</t>
    </r>
  </si>
  <si>
    <t>Ծածկի սալի ջրամեկուսացում երկշերտ բիտումի մածիկով</t>
  </si>
  <si>
    <t>ՊԷ կցաշուրթ 125մմ</t>
  </si>
  <si>
    <t>Կապտաժների կառուցում</t>
  </si>
  <si>
    <t>Разработка ям(фундамент ограды) в грунтах 3 кат. в ручную</t>
  </si>
  <si>
    <r>
      <t>м</t>
    </r>
    <r>
      <rPr>
        <vertAlign val="superscript"/>
        <sz val="8"/>
        <rFont val="Arial Armenian"/>
        <family val="2"/>
      </rPr>
      <t>3</t>
    </r>
  </si>
  <si>
    <r>
      <t>м</t>
    </r>
    <r>
      <rPr>
        <vertAlign val="superscript"/>
        <sz val="8"/>
        <rFont val="Times New Roman"/>
        <family val="1"/>
      </rPr>
      <t>3</t>
    </r>
  </si>
  <si>
    <t xml:space="preserve">E6-2 </t>
  </si>
  <si>
    <t xml:space="preserve">Устройство точечных фундаментов из бетона В-12.5 </t>
  </si>
  <si>
    <t>Стоимость металл. сетки 50x50x3</t>
  </si>
  <si>
    <t>Դռան ծխնի  ПН1-150-Л</t>
  </si>
  <si>
    <t>Петля дверная ПН1-150-Л</t>
  </si>
  <si>
    <t>Навесной замок</t>
  </si>
  <si>
    <r>
      <t>м</t>
    </r>
    <r>
      <rPr>
        <vertAlign val="superscript"/>
        <sz val="8"/>
        <rFont val="Times New Roman"/>
        <family val="1"/>
      </rPr>
      <t>2</t>
    </r>
  </si>
  <si>
    <t>Антикоррозионная окраска металлических элементов (2 раза) (общая ограда) (расчет для окраски двухсторонной окраски)</t>
  </si>
  <si>
    <t>11-6</t>
  </si>
  <si>
    <t>Հենարանների տեղադրում պողպատե խողովակներից d=57x3մմ</t>
  </si>
  <si>
    <t>Установка металлических стоек d=57x3мм</t>
  </si>
  <si>
    <t>Փոսերի   քանդում 4-րդ կարգի գրունտներում ձեռքով</t>
  </si>
  <si>
    <t>Ավելորդ գրունտի հարթեցում տեղում ձեռքով</t>
  </si>
  <si>
    <t xml:space="preserve">Կետային հիմքերի իրականացում  
В-15 բետոնից   (ցանկապատի սյուներ) </t>
  </si>
  <si>
    <t>բետոն  В-15</t>
  </si>
  <si>
    <t>9-34</t>
  </si>
  <si>
    <t>մետ, դուռ</t>
  </si>
  <si>
    <t>մոնտաժային իրեր</t>
  </si>
  <si>
    <t>Մուտքի դուռ փշալարով, 1x1.5x2 L50
անկյունակներով</t>
  </si>
  <si>
    <t xml:space="preserve">13-103 13-104 </t>
  </si>
  <si>
    <t xml:space="preserve">Մետաղական մակերևույթների հակակոռոզիոն մեկուսացում բիտումային քսուկով </t>
  </si>
  <si>
    <t>Нанесения антикоррозионного покрытия металлических элементов 2 раза битумной мастикой</t>
  </si>
  <si>
    <t>Կապտաժների ցանկապատ փշալարով</t>
  </si>
  <si>
    <t xml:space="preserve">Հիմքերի տակ խճի նախապատրաստական շերտի պատրաստում </t>
  </si>
  <si>
    <t>Խճի շերտի պատրաստում ֆիլտրման համար</t>
  </si>
  <si>
    <t>Արտաքին պատերի և ծածկի  մակերևույթի մեկուսացում բիտումով (2 անգամ)</t>
  </si>
  <si>
    <t>8-22</t>
  </si>
  <si>
    <t>Արտաքին պատերի և ծածկի  մակերևույթի մեկուսացում իզոգամով 2 շերտ</t>
  </si>
  <si>
    <t>Պողպատե անկյունակ 50x50x5մմ</t>
  </si>
  <si>
    <t>Металл. Угольник 50x50x5мм</t>
  </si>
  <si>
    <t>Պող. անկ 50x50x5մմ</t>
  </si>
  <si>
    <t>գծ</t>
  </si>
  <si>
    <t>Խրամուղու ետլիցք բուլդոզերով</t>
  </si>
  <si>
    <t xml:space="preserve">Պողպատե  խողովակների  տեղադրում լվացումով, քլորացումով Ø108x4մմ
</t>
  </si>
  <si>
    <t xml:space="preserve">Պողպատե  խողովակների տեղադրում լվացումով, քլորացումով Ø89x4մմ
</t>
  </si>
  <si>
    <t xml:space="preserve">Պողպատե  խողովակների տեղադրում  Ø89x4մմ
</t>
  </si>
  <si>
    <t xml:space="preserve">Սողնակային փականի տեղադրում dպ-80մմ </t>
  </si>
  <si>
    <t>11-3</t>
  </si>
  <si>
    <t xml:space="preserve">Ավազի նախապատրաստական շերտ </t>
  </si>
  <si>
    <r>
      <t>մ</t>
    </r>
    <r>
      <rPr>
        <vertAlign val="superscript"/>
        <sz val="8"/>
        <rFont val="Times New Roman"/>
        <family val="1"/>
      </rPr>
      <t>3</t>
    </r>
  </si>
  <si>
    <t>Ավազի  շերտ ջրի ֆիլտրման համար</t>
  </si>
  <si>
    <t>Կավի կապանքի իրականացում</t>
  </si>
  <si>
    <t>կավ</t>
  </si>
  <si>
    <t>Ե/բ  հիմքի իրականացում F-150 W-6 B25 դասի   բետոնով</t>
  </si>
  <si>
    <t>Ամրան Ø=14մմ А500c</t>
  </si>
  <si>
    <t>Ամրան Ø=10մմ А500c</t>
  </si>
  <si>
    <t>Աղնջաձոր=+'1'!D1</t>
  </si>
  <si>
    <t>ԱՂՆՋԱՁՈՐ   ՕԿՋ V=10մ3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</si>
</sst>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"/>
    <numFmt numFmtId="167" formatCode=";;;"/>
    <numFmt numFmtId="168" formatCode="0.0"/>
    <numFmt numFmtId="169" formatCode="0.0000"/>
    <numFmt numFmtId="170" formatCode="0.00000"/>
    <numFmt numFmtId="171" formatCode="_-* #,##0.00_р_._-;\-* #,##0.00_р_._-;_-* &quot;-&quot;??_р_._-;_-@_-"/>
    <numFmt numFmtId="172" formatCode="_([$€]* #,##0.00_);_([$€]* \(#,##0.00\);_([$€]* &quot;-&quot;??_);_(@_)"/>
    <numFmt numFmtId="173" formatCode="#,##0.00000000000"/>
    <numFmt numFmtId="174" formatCode="#,##0.0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  <font>
      <b/>
      <i/>
      <sz val="12"/>
      <color theme="1"/>
      <name val="Sylfaen"/>
      <family val="1"/>
    </font>
    <font>
      <b/>
      <sz val="11"/>
      <color theme="1"/>
      <name val="Sylfaen"/>
      <family val="1"/>
    </font>
    <font>
      <i/>
      <sz val="11"/>
      <color theme="1"/>
      <name val="Sylfaen"/>
      <family val="1"/>
    </font>
    <font>
      <sz val="10"/>
      <name val="Arial"/>
      <family val="2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4"/>
      <name val="Times New Roman"/>
      <family val="1"/>
      <charset val="204"/>
    </font>
    <font>
      <i/>
      <sz val="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family val="2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name val="Sylfaen"/>
      <family val="1"/>
    </font>
    <font>
      <b/>
      <i/>
      <sz val="10"/>
      <name val="Sylfaen"/>
      <family val="1"/>
    </font>
    <font>
      <sz val="8"/>
      <name val="Sylfaen"/>
      <family val="1"/>
    </font>
    <font>
      <sz val="9"/>
      <name val="Sylfaen"/>
      <family val="1"/>
    </font>
    <font>
      <sz val="10"/>
      <name val="Sylfaen"/>
      <family val="1"/>
    </font>
    <font>
      <b/>
      <i/>
      <sz val="11"/>
      <name val="Sylfaen"/>
      <family val="1"/>
    </font>
    <font>
      <b/>
      <i/>
      <sz val="8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i/>
      <sz val="8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i/>
      <sz val="9"/>
      <name val="Sylfaen"/>
      <family val="1"/>
    </font>
    <font>
      <b/>
      <i/>
      <sz val="9"/>
      <name val="Sylfaen"/>
      <family val="1"/>
    </font>
    <font>
      <i/>
      <sz val="9"/>
      <name val="Sylfaen"/>
      <family val="1"/>
      <charset val="204"/>
    </font>
    <font>
      <sz val="9"/>
      <name val="Sylfaen"/>
      <family val="1"/>
      <charset val="204"/>
    </font>
    <font>
      <b/>
      <i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i/>
      <sz val="9"/>
      <name val="Sylfaen"/>
      <family val="1"/>
      <charset val="204"/>
    </font>
    <font>
      <sz val="8"/>
      <name val="Sylfaen"/>
      <family val="1"/>
      <charset val="204"/>
    </font>
    <font>
      <b/>
      <sz val="8"/>
      <name val="Sylfaen"/>
      <family val="1"/>
      <charset val="204"/>
    </font>
    <font>
      <b/>
      <sz val="8"/>
      <name val="Sylfaen"/>
      <family val="1"/>
    </font>
    <font>
      <vertAlign val="superscript"/>
      <sz val="9"/>
      <name val="Sylfaen"/>
      <family val="1"/>
    </font>
    <font>
      <sz val="11"/>
      <color indexed="8"/>
      <name val="Calibri"/>
      <family val="2"/>
    </font>
    <font>
      <sz val="9"/>
      <name val="Arial Unicode"/>
      <family val="2"/>
      <charset val="204"/>
    </font>
    <font>
      <b/>
      <sz val="9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sz val="8"/>
      <name val="Arial Unicode"/>
      <family val="2"/>
      <charset val="204"/>
    </font>
    <font>
      <sz val="8"/>
      <color theme="1"/>
      <name val="Sylfae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name val="Sylfaen"/>
      <family val="1"/>
    </font>
    <font>
      <i/>
      <sz val="10"/>
      <name val="Sylfaen"/>
      <family val="1"/>
      <charset val="204"/>
    </font>
    <font>
      <i/>
      <sz val="8"/>
      <name val="Sylfaen"/>
      <family val="1"/>
      <charset val="204"/>
    </font>
    <font>
      <sz val="9"/>
      <name val="Times New Roman"/>
      <family val="1"/>
    </font>
    <font>
      <sz val="10"/>
      <color theme="0"/>
      <name val="Sylfae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Arial Armenian"/>
      <family val="2"/>
    </font>
    <font>
      <b/>
      <sz val="9"/>
      <name val="Times New Roman"/>
      <family val="1"/>
    </font>
    <font>
      <sz val="9"/>
      <color indexed="9"/>
      <name val="Sylfaen"/>
      <family val="1"/>
    </font>
    <font>
      <vertAlign val="superscript"/>
      <sz val="8"/>
      <name val="Sylfaen"/>
      <family val="1"/>
    </font>
    <font>
      <sz val="9"/>
      <color indexed="9"/>
      <name val="Sylfaen"/>
      <family val="1"/>
      <charset val="204"/>
    </font>
    <font>
      <sz val="9"/>
      <color indexed="8"/>
      <name val="Sylfaen"/>
      <family val="1"/>
    </font>
    <font>
      <b/>
      <sz val="10"/>
      <color theme="0"/>
      <name val="Sylfaen"/>
      <family val="1"/>
    </font>
    <font>
      <sz val="8"/>
      <name val="Arial Armenian"/>
      <family val="2"/>
      <charset val="204"/>
    </font>
    <font>
      <i/>
      <sz val="12"/>
      <color theme="0"/>
      <name val="Times New Roman"/>
      <family val="1"/>
    </font>
    <font>
      <sz val="10"/>
      <name val="Arial LatArm"/>
      <family val="2"/>
      <charset val="204"/>
    </font>
    <font>
      <b/>
      <i/>
      <sz val="10"/>
      <name val="Arial Armenian"/>
      <family val="2"/>
    </font>
    <font>
      <sz val="9"/>
      <color theme="1"/>
      <name val="Sylfaen"/>
      <family val="1"/>
      <charset val="204"/>
    </font>
    <font>
      <b/>
      <i/>
      <sz val="12"/>
      <name val="Times New Roman"/>
      <family val="1"/>
    </font>
    <font>
      <sz val="7.5"/>
      <name val="Sylfaen"/>
      <family val="1"/>
    </font>
    <font>
      <b/>
      <sz val="14"/>
      <name val="Sylfaen"/>
      <family val="1"/>
    </font>
    <font>
      <sz val="9"/>
      <color rgb="FFFF0000"/>
      <name val="Sylfaen"/>
      <family val="1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 LatArm"/>
      <family val="2"/>
      <charset val="204"/>
    </font>
    <font>
      <sz val="8"/>
      <name val="Times New Roman"/>
      <family val="1"/>
    </font>
    <font>
      <b/>
      <i/>
      <sz val="11"/>
      <name val="Sylfaen"/>
      <family val="1"/>
      <charset val="204"/>
    </font>
    <font>
      <sz val="11"/>
      <name val="Arial"/>
      <family val="2"/>
      <charset val="204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sz val="9"/>
      <color rgb="FFFF0000"/>
      <name val="Times New Roman"/>
      <family val="1"/>
    </font>
    <font>
      <sz val="8"/>
      <color rgb="FFFF0000"/>
      <name val="Sylfaen"/>
      <family val="1"/>
    </font>
    <font>
      <sz val="9"/>
      <color theme="0"/>
      <name val="Sylfaen"/>
      <family val="1"/>
    </font>
    <font>
      <sz val="9"/>
      <color indexed="10"/>
      <name val="Sylfaen"/>
      <family val="1"/>
    </font>
    <font>
      <sz val="8"/>
      <name val="Arial Armenian"/>
      <family val="2"/>
    </font>
    <font>
      <sz val="9"/>
      <name val="Arial"/>
      <family val="2"/>
    </font>
    <font>
      <sz val="11"/>
      <color theme="1"/>
      <name val="Times New Roman"/>
      <family val="1"/>
    </font>
    <font>
      <sz val="8"/>
      <color theme="0"/>
      <name val="Sylfaen"/>
      <family val="1"/>
    </font>
    <font>
      <vertAlign val="superscript"/>
      <sz val="8"/>
      <name val="Arial Armenian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86">
    <xf numFmtId="0" fontId="0" fillId="0" borderId="0"/>
    <xf numFmtId="0" fontId="1" fillId="0" borderId="0"/>
    <xf numFmtId="0" fontId="9" fillId="0" borderId="0"/>
    <xf numFmtId="0" fontId="2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7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4" fillId="0" borderId="0"/>
    <xf numFmtId="0" fontId="9" fillId="0" borderId="0"/>
    <xf numFmtId="0" fontId="1" fillId="0" borderId="0"/>
    <xf numFmtId="0" fontId="64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21" borderId="0" applyNumberFormat="0" applyBorder="0" applyAlignment="0" applyProtection="0"/>
    <xf numFmtId="0" fontId="66" fillId="9" borderId="72" applyNumberFormat="0" applyAlignment="0" applyProtection="0"/>
    <xf numFmtId="0" fontId="67" fillId="22" borderId="73" applyNumberFormat="0" applyAlignment="0" applyProtection="0"/>
    <xf numFmtId="0" fontId="68" fillId="22" borderId="72" applyNumberFormat="0" applyAlignment="0" applyProtection="0"/>
    <xf numFmtId="167" fontId="1" fillId="0" borderId="0" applyFont="0" applyFill="0" applyBorder="0" applyAlignment="0" applyProtection="0"/>
    <xf numFmtId="0" fontId="69" fillId="0" borderId="74" applyNumberFormat="0" applyFill="0" applyAlignment="0" applyProtection="0"/>
    <xf numFmtId="0" fontId="70" fillId="0" borderId="75" applyNumberFormat="0" applyFill="0" applyAlignment="0" applyProtection="0"/>
    <xf numFmtId="0" fontId="71" fillId="0" borderId="7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77" applyNumberFormat="0" applyFill="0" applyAlignment="0" applyProtection="0"/>
    <xf numFmtId="0" fontId="73" fillId="23" borderId="78" applyNumberFormat="0" applyAlignment="0" applyProtection="0"/>
    <xf numFmtId="0" fontId="74" fillId="0" borderId="0" applyNumberFormat="0" applyFill="0" applyBorder="0" applyAlignment="0" applyProtection="0"/>
    <xf numFmtId="0" fontId="75" fillId="24" borderId="0" applyNumberFormat="0" applyBorder="0" applyAlignment="0" applyProtection="0"/>
    <xf numFmtId="0" fontId="1" fillId="0" borderId="0"/>
    <xf numFmtId="0" fontId="64" fillId="0" borderId="0"/>
    <xf numFmtId="0" fontId="21" fillId="0" borderId="0"/>
    <xf numFmtId="0" fontId="76" fillId="0" borderId="0"/>
    <xf numFmtId="0" fontId="64" fillId="0" borderId="0"/>
    <xf numFmtId="0" fontId="77" fillId="5" borderId="0" applyNumberFormat="0" applyBorder="0" applyAlignment="0" applyProtection="0"/>
    <xf numFmtId="0" fontId="78" fillId="0" borderId="0" applyNumberFormat="0" applyFill="0" applyBorder="0" applyAlignment="0" applyProtection="0"/>
    <xf numFmtId="0" fontId="62" fillId="25" borderId="79" applyNumberFormat="0" applyFont="0" applyAlignment="0" applyProtection="0"/>
    <xf numFmtId="0" fontId="62" fillId="25" borderId="79" applyNumberFormat="0" applyFont="0" applyAlignment="0" applyProtection="0"/>
    <xf numFmtId="0" fontId="79" fillId="0" borderId="80" applyNumberFormat="0" applyFill="0" applyAlignment="0" applyProtection="0"/>
    <xf numFmtId="0" fontId="80" fillId="0" borderId="0" applyNumberFormat="0" applyFill="0" applyBorder="0" applyAlignment="0" applyProtection="0"/>
    <xf numFmtId="171" fontId="21" fillId="0" borderId="0" applyFont="0" applyFill="0" applyBorder="0" applyAlignment="0" applyProtection="0"/>
    <xf numFmtId="0" fontId="81" fillId="6" borderId="0" applyNumberFormat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</cellStyleXfs>
  <cellXfs count="1660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5" fillId="0" borderId="0" xfId="1" applyFont="1" applyAlignment="1">
      <alignment vertical="center" wrapText="1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right" vertical="center"/>
    </xf>
    <xf numFmtId="0" fontId="10" fillId="0" borderId="0" xfId="2" applyFont="1" applyFill="1"/>
    <xf numFmtId="0" fontId="11" fillId="0" borderId="0" xfId="2" applyFont="1" applyFill="1"/>
    <xf numFmtId="0" fontId="10" fillId="0" borderId="0" xfId="2" applyFont="1"/>
    <xf numFmtId="0" fontId="13" fillId="0" borderId="0" xfId="2" applyFont="1" applyFill="1" applyAlignment="1"/>
    <xf numFmtId="0" fontId="14" fillId="0" borderId="0" xfId="2" applyFont="1" applyFill="1" applyAlignment="1"/>
    <xf numFmtId="0" fontId="15" fillId="0" borderId="0" xfId="2" applyFont="1" applyFill="1" applyAlignment="1">
      <alignment horizontal="center"/>
    </xf>
    <xf numFmtId="0" fontId="10" fillId="0" borderId="0" xfId="2" applyFont="1" applyFill="1" applyBorder="1"/>
    <xf numFmtId="4" fontId="14" fillId="0" borderId="1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6" fillId="0" borderId="0" xfId="2" applyFont="1" applyFill="1"/>
    <xf numFmtId="0" fontId="17" fillId="0" borderId="0" xfId="2" applyFont="1" applyFill="1"/>
    <xf numFmtId="0" fontId="16" fillId="0" borderId="0" xfId="2" applyFont="1" applyFill="1" applyAlignment="1">
      <alignment horizontal="center"/>
    </xf>
    <xf numFmtId="0" fontId="12" fillId="0" borderId="0" xfId="2" applyFont="1" applyFill="1"/>
    <xf numFmtId="0" fontId="16" fillId="0" borderId="0" xfId="2" applyFont="1"/>
    <xf numFmtId="2" fontId="10" fillId="0" borderId="0" xfId="2" applyNumberFormat="1" applyFont="1" applyFill="1" applyBorder="1" applyAlignment="1">
      <alignment horizontal="center"/>
    </xf>
    <xf numFmtId="0" fontId="11" fillId="0" borderId="0" xfId="2" applyFont="1" applyFill="1" applyBorder="1"/>
    <xf numFmtId="0" fontId="19" fillId="0" borderId="0" xfId="2" applyFont="1" applyFill="1" applyAlignment="1">
      <alignment horizontal="centerContinuous" wrapText="1"/>
    </xf>
    <xf numFmtId="0" fontId="18" fillId="0" borderId="0" xfId="2" applyFont="1" applyFill="1"/>
    <xf numFmtId="0" fontId="20" fillId="0" borderId="0" xfId="2" applyFont="1" applyFill="1"/>
    <xf numFmtId="0" fontId="18" fillId="0" borderId="0" xfId="2" applyFont="1"/>
    <xf numFmtId="0" fontId="18" fillId="0" borderId="0" xfId="2" applyFont="1" applyFill="1" applyBorder="1" applyAlignment="1">
      <alignment horizontal="centerContinuous" vertical="top"/>
    </xf>
    <xf numFmtId="0" fontId="10" fillId="0" borderId="2" xfId="2" applyFont="1" applyFill="1" applyBorder="1"/>
    <xf numFmtId="0" fontId="18" fillId="3" borderId="9" xfId="2" applyFont="1" applyFill="1" applyBorder="1" applyAlignment="1">
      <alignment horizontal="center"/>
    </xf>
    <xf numFmtId="0" fontId="14" fillId="0" borderId="10" xfId="2" applyFont="1" applyBorder="1" applyAlignment="1">
      <alignment horizontal="centerContinuous" vertical="center" wrapText="1"/>
    </xf>
    <xf numFmtId="0" fontId="14" fillId="0" borderId="11" xfId="2" applyFont="1" applyBorder="1" applyAlignment="1">
      <alignment horizontal="centerContinuous" vertical="center" wrapText="1"/>
    </xf>
    <xf numFmtId="0" fontId="27" fillId="0" borderId="11" xfId="2" applyFont="1" applyBorder="1" applyAlignment="1">
      <alignment horizontal="centerContinuous" vertical="center" wrapText="1"/>
    </xf>
    <xf numFmtId="0" fontId="14" fillId="3" borderId="12" xfId="2" applyFont="1" applyFill="1" applyBorder="1" applyAlignment="1">
      <alignment horizontal="centerContinuous" vertical="center" wrapText="1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 wrapText="1"/>
    </xf>
    <xf numFmtId="4" fontId="10" fillId="2" borderId="14" xfId="2" applyNumberFormat="1" applyFont="1" applyFill="1" applyBorder="1" applyAlignment="1">
      <alignment vertical="center"/>
    </xf>
    <xf numFmtId="4" fontId="11" fillId="2" borderId="14" xfId="2" applyNumberFormat="1" applyFont="1" applyFill="1" applyBorder="1" applyAlignment="1">
      <alignment vertical="center"/>
    </xf>
    <xf numFmtId="4" fontId="28" fillId="2" borderId="14" xfId="2" applyNumberFormat="1" applyFont="1" applyFill="1" applyBorder="1" applyAlignment="1">
      <alignment vertical="center"/>
    </xf>
    <xf numFmtId="4" fontId="10" fillId="3" borderId="15" xfId="2" applyNumberFormat="1" applyFont="1" applyFill="1" applyBorder="1" applyAlignment="1">
      <alignment vertical="center"/>
    </xf>
    <xf numFmtId="0" fontId="10" fillId="2" borderId="0" xfId="2" applyFont="1" applyFill="1"/>
    <xf numFmtId="2" fontId="10" fillId="2" borderId="14" xfId="2" applyNumberFormat="1" applyFont="1" applyFill="1" applyBorder="1" applyAlignment="1">
      <alignment vertical="center"/>
    </xf>
    <xf numFmtId="0" fontId="14" fillId="2" borderId="13" xfId="2" applyFont="1" applyFill="1" applyBorder="1" applyAlignment="1">
      <alignment horizontal="center" vertical="center"/>
    </xf>
    <xf numFmtId="164" fontId="14" fillId="2" borderId="14" xfId="2" applyNumberFormat="1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 wrapText="1"/>
    </xf>
    <xf numFmtId="4" fontId="14" fillId="2" borderId="14" xfId="2" applyNumberFormat="1" applyFont="1" applyFill="1" applyBorder="1" applyAlignment="1">
      <alignment vertical="center"/>
    </xf>
    <xf numFmtId="4" fontId="14" fillId="3" borderId="15" xfId="2" applyNumberFormat="1" applyFont="1" applyFill="1" applyBorder="1" applyAlignment="1">
      <alignment vertical="center"/>
    </xf>
    <xf numFmtId="2" fontId="14" fillId="2" borderId="0" xfId="2" applyNumberFormat="1" applyFont="1" applyFill="1"/>
    <xf numFmtId="0" fontId="14" fillId="2" borderId="0" xfId="2" applyFont="1" applyFill="1"/>
    <xf numFmtId="0" fontId="14" fillId="0" borderId="13" xfId="2" applyFont="1" applyBorder="1" applyAlignment="1">
      <alignment horizontal="centerContinuous" vertical="center" wrapText="1"/>
    </xf>
    <xf numFmtId="0" fontId="14" fillId="0" borderId="14" xfId="2" applyFont="1" applyBorder="1" applyAlignment="1">
      <alignment horizontal="centerContinuous" vertical="center" wrapText="1"/>
    </xf>
    <xf numFmtId="4" fontId="14" fillId="0" borderId="14" xfId="2" applyNumberFormat="1" applyFont="1" applyBorder="1" applyAlignment="1">
      <alignment horizontal="centerContinuous" vertical="center" wrapText="1"/>
    </xf>
    <xf numFmtId="4" fontId="27" fillId="0" borderId="14" xfId="2" applyNumberFormat="1" applyFont="1" applyBorder="1" applyAlignment="1">
      <alignment horizontal="centerContinuous" vertical="center" wrapText="1"/>
    </xf>
    <xf numFmtId="4" fontId="14" fillId="3" borderId="15" xfId="2" applyNumberFormat="1" applyFont="1" applyFill="1" applyBorder="1" applyAlignment="1">
      <alignment horizontal="centerContinuous" vertical="center" wrapText="1"/>
    </xf>
    <xf numFmtId="4" fontId="29" fillId="2" borderId="14" xfId="2" applyNumberFormat="1" applyFont="1" applyFill="1" applyBorder="1" applyAlignment="1">
      <alignment vertical="center"/>
    </xf>
    <xf numFmtId="4" fontId="10" fillId="0" borderId="14" xfId="2" applyNumberFormat="1" applyFont="1" applyFill="1" applyBorder="1" applyAlignment="1">
      <alignment vertical="center"/>
    </xf>
    <xf numFmtId="4" fontId="10" fillId="0" borderId="15" xfId="2" applyNumberFormat="1" applyFont="1" applyFill="1" applyBorder="1" applyAlignment="1">
      <alignment vertical="center"/>
    </xf>
    <xf numFmtId="164" fontId="10" fillId="2" borderId="14" xfId="2" applyNumberFormat="1" applyFont="1" applyFill="1" applyBorder="1" applyAlignment="1">
      <alignment horizontal="center" vertical="center"/>
    </xf>
    <xf numFmtId="2" fontId="10" fillId="2" borderId="0" xfId="2" applyNumberFormat="1" applyFont="1" applyFill="1"/>
    <xf numFmtId="0" fontId="14" fillId="2" borderId="13" xfId="2" applyFont="1" applyFill="1" applyBorder="1" applyAlignment="1">
      <alignment horizontal="centerContinuous" vertical="center" wrapText="1"/>
    </xf>
    <xf numFmtId="0" fontId="14" fillId="2" borderId="14" xfId="2" applyFont="1" applyFill="1" applyBorder="1" applyAlignment="1">
      <alignment horizontal="centerContinuous" vertical="center" wrapText="1"/>
    </xf>
    <xf numFmtId="4" fontId="14" fillId="2" borderId="14" xfId="2" applyNumberFormat="1" applyFont="1" applyFill="1" applyBorder="1" applyAlignment="1">
      <alignment horizontal="centerContinuous" vertical="center" wrapText="1"/>
    </xf>
    <xf numFmtId="4" fontId="27" fillId="2" borderId="14" xfId="2" applyNumberFormat="1" applyFont="1" applyFill="1" applyBorder="1" applyAlignment="1">
      <alignment horizontal="centerContinuous" vertical="center" wrapText="1"/>
    </xf>
    <xf numFmtId="10" fontId="10" fillId="2" borderId="14" xfId="2" applyNumberFormat="1" applyFont="1" applyFill="1" applyBorder="1" applyAlignment="1">
      <alignment horizontal="center" vertical="center"/>
    </xf>
    <xf numFmtId="4" fontId="10" fillId="2" borderId="0" xfId="2" applyNumberFormat="1" applyFont="1" applyFill="1"/>
    <xf numFmtId="9" fontId="10" fillId="2" borderId="14" xfId="2" applyNumberFormat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9" fontId="14" fillId="0" borderId="14" xfId="2" applyNumberFormat="1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4" fontId="14" fillId="0" borderId="14" xfId="2" applyNumberFormat="1" applyFont="1" applyBorder="1" applyAlignment="1">
      <alignment horizontal="right" vertical="center"/>
    </xf>
    <xf numFmtId="4" fontId="11" fillId="0" borderId="14" xfId="2" applyNumberFormat="1" applyFont="1" applyBorder="1" applyAlignment="1">
      <alignment horizontal="right" vertical="center"/>
    </xf>
    <xf numFmtId="0" fontId="14" fillId="0" borderId="0" xfId="2" applyFont="1"/>
    <xf numFmtId="0" fontId="14" fillId="3" borderId="13" xfId="2" applyFont="1" applyFill="1" applyBorder="1" applyAlignment="1">
      <alignment horizontal="center" vertical="center"/>
    </xf>
    <xf numFmtId="164" fontId="14" fillId="3" borderId="14" xfId="2" applyNumberFormat="1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 wrapText="1"/>
    </xf>
    <xf numFmtId="4" fontId="14" fillId="3" borderId="14" xfId="2" applyNumberFormat="1" applyFont="1" applyFill="1" applyBorder="1" applyAlignment="1">
      <alignment vertical="center"/>
    </xf>
    <xf numFmtId="4" fontId="11" fillId="3" borderId="14" xfId="2" applyNumberFormat="1" applyFont="1" applyFill="1" applyBorder="1" applyAlignment="1">
      <alignment vertical="center"/>
    </xf>
    <xf numFmtId="164" fontId="10" fillId="2" borderId="14" xfId="2" applyNumberFormat="1" applyFont="1" applyFill="1" applyBorder="1" applyAlignment="1">
      <alignment horizontal="center" vertical="center" wrapText="1"/>
    </xf>
    <xf numFmtId="4" fontId="10" fillId="3" borderId="15" xfId="4" applyNumberFormat="1" applyFont="1" applyFill="1" applyBorder="1"/>
    <xf numFmtId="166" fontId="10" fillId="2" borderId="14" xfId="4" applyNumberFormat="1" applyFont="1" applyFill="1" applyBorder="1"/>
    <xf numFmtId="0" fontId="10" fillId="2" borderId="1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4" fontId="10" fillId="2" borderId="7" xfId="2" applyNumberFormat="1" applyFont="1" applyFill="1" applyBorder="1" applyAlignment="1">
      <alignment vertical="center"/>
    </xf>
    <xf numFmtId="4" fontId="11" fillId="2" borderId="7" xfId="2" applyNumberFormat="1" applyFont="1" applyFill="1" applyBorder="1" applyAlignment="1">
      <alignment vertical="center"/>
    </xf>
    <xf numFmtId="4" fontId="10" fillId="2" borderId="7" xfId="4" applyNumberFormat="1" applyFont="1" applyFill="1" applyBorder="1"/>
    <xf numFmtId="4" fontId="10" fillId="3" borderId="8" xfId="4" applyNumberFormat="1" applyFont="1" applyFill="1" applyBorder="1"/>
    <xf numFmtId="0" fontId="10" fillId="2" borderId="17" xfId="2" applyFont="1" applyFill="1" applyBorder="1" applyAlignment="1">
      <alignment horizontal="center" vertical="center"/>
    </xf>
    <xf numFmtId="9" fontId="10" fillId="2" borderId="18" xfId="2" applyNumberFormat="1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 wrapText="1"/>
    </xf>
    <xf numFmtId="4" fontId="10" fillId="2" borderId="20" xfId="2" applyNumberFormat="1" applyFont="1" applyFill="1" applyBorder="1" applyAlignment="1">
      <alignment vertical="center"/>
    </xf>
    <xf numFmtId="4" fontId="11" fillId="2" borderId="20" xfId="2" applyNumberFormat="1" applyFont="1" applyFill="1" applyBorder="1" applyAlignment="1">
      <alignment vertical="center"/>
    </xf>
    <xf numFmtId="4" fontId="10" fillId="2" borderId="21" xfId="4" applyNumberFormat="1" applyFont="1" applyFill="1" applyBorder="1"/>
    <xf numFmtId="4" fontId="10" fillId="3" borderId="22" xfId="4" applyNumberFormat="1" applyFont="1" applyFill="1" applyBorder="1"/>
    <xf numFmtId="0" fontId="10" fillId="3" borderId="23" xfId="2" applyFont="1" applyFill="1" applyBorder="1" applyAlignment="1">
      <alignment horizontal="center" vertical="center"/>
    </xf>
    <xf numFmtId="4" fontId="14" fillId="3" borderId="9" xfId="2" applyNumberFormat="1" applyFont="1" applyFill="1" applyBorder="1" applyAlignment="1">
      <alignment vertical="center"/>
    </xf>
    <xf numFmtId="4" fontId="11" fillId="3" borderId="9" xfId="2" applyNumberFormat="1" applyFont="1" applyFill="1" applyBorder="1" applyAlignment="1">
      <alignment vertical="center"/>
    </xf>
    <xf numFmtId="2" fontId="10" fillId="0" borderId="0" xfId="2" applyNumberFormat="1" applyFont="1"/>
    <xf numFmtId="0" fontId="11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2" fontId="27" fillId="0" borderId="0" xfId="2" applyNumberFormat="1" applyFont="1" applyFill="1" applyBorder="1" applyAlignment="1">
      <alignment vertical="center"/>
    </xf>
    <xf numFmtId="165" fontId="27" fillId="0" borderId="0" xfId="2" applyNumberFormat="1" applyFont="1" applyFill="1" applyBorder="1" applyAlignment="1">
      <alignment vertical="center"/>
    </xf>
    <xf numFmtId="0" fontId="10" fillId="0" borderId="0" xfId="2" applyFont="1" applyBorder="1"/>
    <xf numFmtId="0" fontId="10" fillId="0" borderId="0" xfId="2" applyFont="1" applyFill="1" applyAlignment="1">
      <alignment horizontal="right"/>
    </xf>
    <xf numFmtId="0" fontId="10" fillId="0" borderId="1" xfId="2" applyFont="1" applyBorder="1"/>
    <xf numFmtId="0" fontId="10" fillId="0" borderId="1" xfId="2" applyFont="1" applyFill="1" applyBorder="1" applyAlignment="1">
      <alignment horizontal="center"/>
    </xf>
    <xf numFmtId="0" fontId="30" fillId="0" borderId="0" xfId="2" applyFont="1" applyBorder="1"/>
    <xf numFmtId="2" fontId="30" fillId="0" borderId="0" xfId="2" applyNumberFormat="1" applyFont="1" applyBorder="1" applyAlignment="1">
      <alignment horizontal="center" vertical="center"/>
    </xf>
    <xf numFmtId="0" fontId="10" fillId="0" borderId="0" xfId="2" applyFont="1" applyFill="1" applyAlignment="1"/>
    <xf numFmtId="0" fontId="10" fillId="0" borderId="0" xfId="2" applyFont="1" applyAlignment="1">
      <alignment horizontal="right"/>
    </xf>
    <xf numFmtId="2" fontId="10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5" fontId="10" fillId="0" borderId="0" xfId="2" applyNumberFormat="1" applyFont="1"/>
    <xf numFmtId="165" fontId="11" fillId="0" borderId="0" xfId="2" applyNumberFormat="1" applyFont="1"/>
    <xf numFmtId="0" fontId="11" fillId="0" borderId="0" xfId="2" applyFont="1"/>
    <xf numFmtId="2" fontId="34" fillId="2" borderId="0" xfId="2" applyNumberFormat="1" applyFont="1" applyFill="1" applyBorder="1" applyAlignment="1">
      <alignment horizontal="left"/>
    </xf>
    <xf numFmtId="167" fontId="35" fillId="2" borderId="0" xfId="2" applyNumberFormat="1" applyFont="1" applyFill="1"/>
    <xf numFmtId="0" fontId="35" fillId="2" borderId="0" xfId="2" applyFont="1" applyFill="1"/>
    <xf numFmtId="0" fontId="0" fillId="2" borderId="26" xfId="0" applyFill="1" applyBorder="1" applyAlignment="1"/>
    <xf numFmtId="0" fontId="36" fillId="2" borderId="0" xfId="2" applyFont="1" applyFill="1" applyBorder="1" applyAlignment="1">
      <alignment horizontal="center" vertical="center"/>
    </xf>
    <xf numFmtId="0" fontId="36" fillId="2" borderId="0" xfId="2" applyFont="1" applyFill="1" applyBorder="1" applyAlignment="1"/>
    <xf numFmtId="0" fontId="35" fillId="2" borderId="0" xfId="2" applyFont="1" applyFill="1" applyBorder="1"/>
    <xf numFmtId="0" fontId="35" fillId="2" borderId="0" xfId="2" applyFont="1" applyFill="1" applyBorder="1" applyAlignment="1">
      <alignment horizontal="right"/>
    </xf>
    <xf numFmtId="0" fontId="35" fillId="2" borderId="26" xfId="2" applyFont="1" applyFill="1" applyBorder="1"/>
    <xf numFmtId="0" fontId="34" fillId="2" borderId="0" xfId="2" applyFont="1" applyFill="1" applyBorder="1"/>
    <xf numFmtId="0" fontId="34" fillId="2" borderId="0" xfId="2" applyFont="1" applyFill="1" applyBorder="1" applyAlignment="1">
      <alignment horizontal="left" vertical="center"/>
    </xf>
    <xf numFmtId="2" fontId="34" fillId="2" borderId="0" xfId="2" applyNumberFormat="1" applyFont="1" applyFill="1" applyBorder="1"/>
    <xf numFmtId="0" fontId="31" fillId="2" borderId="0" xfId="2" applyFont="1" applyFill="1" applyBorder="1" applyAlignment="1">
      <alignment horizontal="center" vertical="center"/>
    </xf>
    <xf numFmtId="167" fontId="38" fillId="2" borderId="0" xfId="2" applyNumberFormat="1" applyFont="1" applyFill="1" applyAlignment="1"/>
    <xf numFmtId="0" fontId="33" fillId="2" borderId="26" xfId="2" applyFont="1" applyFill="1" applyBorder="1" applyAlignment="1"/>
    <xf numFmtId="0" fontId="0" fillId="2" borderId="26" xfId="0" applyFill="1" applyBorder="1"/>
    <xf numFmtId="168" fontId="0" fillId="2" borderId="26" xfId="0" applyNumberFormat="1" applyFill="1" applyBorder="1"/>
    <xf numFmtId="0" fontId="38" fillId="2" borderId="0" xfId="2" applyFont="1" applyFill="1" applyAlignment="1"/>
    <xf numFmtId="0" fontId="35" fillId="2" borderId="0" xfId="2" applyFont="1" applyFill="1" applyBorder="1" applyAlignment="1"/>
    <xf numFmtId="0" fontId="34" fillId="2" borderId="0" xfId="2" applyFont="1" applyFill="1" applyBorder="1" applyAlignment="1"/>
    <xf numFmtId="2" fontId="34" fillId="2" borderId="0" xfId="2" applyNumberFormat="1" applyFont="1" applyFill="1" applyBorder="1" applyAlignment="1"/>
    <xf numFmtId="167" fontId="35" fillId="2" borderId="0" xfId="2" applyNumberFormat="1" applyFont="1" applyFill="1" applyAlignment="1"/>
    <xf numFmtId="0" fontId="35" fillId="2" borderId="26" xfId="2" applyFont="1" applyFill="1" applyBorder="1" applyAlignment="1"/>
    <xf numFmtId="0" fontId="35" fillId="2" borderId="0" xfId="2" applyFont="1" applyFill="1" applyAlignment="1"/>
    <xf numFmtId="169" fontId="0" fillId="2" borderId="26" xfId="0" applyNumberFormat="1" applyFill="1" applyBorder="1"/>
    <xf numFmtId="0" fontId="42" fillId="2" borderId="0" xfId="2" applyFont="1" applyFill="1" applyBorder="1" applyAlignment="1">
      <alignment horizontal="left"/>
    </xf>
    <xf numFmtId="0" fontId="35" fillId="2" borderId="0" xfId="2" applyFont="1" applyFill="1" applyBorder="1" applyAlignment="1">
      <alignment horizontal="center"/>
    </xf>
    <xf numFmtId="0" fontId="42" fillId="2" borderId="0" xfId="2" applyFont="1" applyFill="1" applyBorder="1" applyAlignment="1"/>
    <xf numFmtId="0" fontId="35" fillId="2" borderId="0" xfId="2" applyFont="1" applyFill="1" applyBorder="1" applyAlignment="1">
      <alignment horizontal="left" vertical="center"/>
    </xf>
    <xf numFmtId="0" fontId="43" fillId="2" borderId="0" xfId="2" applyFont="1" applyFill="1" applyBorder="1" applyAlignment="1">
      <alignment horizontal="left"/>
    </xf>
    <xf numFmtId="14" fontId="34" fillId="2" borderId="0" xfId="2" applyNumberFormat="1" applyFont="1" applyFill="1" applyBorder="1" applyAlignment="1">
      <alignment horizontal="left" vertical="center"/>
    </xf>
    <xf numFmtId="14" fontId="42" fillId="2" borderId="0" xfId="2" applyNumberFormat="1" applyFont="1" applyFill="1" applyBorder="1" applyAlignment="1">
      <alignment horizontal="left"/>
    </xf>
    <xf numFmtId="2" fontId="34" fillId="2" borderId="0" xfId="2" applyNumberFormat="1" applyFont="1" applyFill="1" applyBorder="1" applyAlignment="1">
      <alignment horizontal="left" vertical="center"/>
    </xf>
    <xf numFmtId="0" fontId="45" fillId="2" borderId="0" xfId="2" applyFont="1" applyFill="1" applyBorder="1" applyAlignment="1">
      <alignment horizontal="left"/>
    </xf>
    <xf numFmtId="0" fontId="46" fillId="2" borderId="0" xfId="2" applyFont="1" applyFill="1" applyBorder="1" applyAlignment="1">
      <alignment horizontal="left"/>
    </xf>
    <xf numFmtId="0" fontId="48" fillId="2" borderId="0" xfId="2" applyFont="1" applyFill="1" applyBorder="1" applyAlignment="1">
      <alignment horizontal="center"/>
    </xf>
    <xf numFmtId="2" fontId="46" fillId="2" borderId="0" xfId="2" applyNumberFormat="1" applyFont="1" applyFill="1" applyBorder="1" applyAlignment="1"/>
    <xf numFmtId="0" fontId="48" fillId="2" borderId="0" xfId="2" applyFont="1" applyFill="1" applyAlignment="1"/>
    <xf numFmtId="0" fontId="46" fillId="2" borderId="0" xfId="2" applyFont="1" applyFill="1" applyBorder="1" applyAlignment="1">
      <alignment horizontal="left" vertical="center"/>
    </xf>
    <xf numFmtId="0" fontId="33" fillId="2" borderId="0" xfId="2" applyFont="1" applyFill="1"/>
    <xf numFmtId="0" fontId="33" fillId="2" borderId="0" xfId="2" applyFont="1" applyFill="1" applyAlignment="1">
      <alignment horizontal="center" vertical="center"/>
    </xf>
    <xf numFmtId="0" fontId="34" fillId="2" borderId="0" xfId="0" applyFont="1" applyFill="1"/>
    <xf numFmtId="0" fontId="34" fillId="2" borderId="0" xfId="0" applyNumberFormat="1" applyFont="1" applyFill="1" applyAlignment="1">
      <alignment vertical="top"/>
    </xf>
    <xf numFmtId="0" fontId="33" fillId="2" borderId="0" xfId="2" applyFont="1" applyFill="1" applyBorder="1" applyAlignment="1">
      <alignment horizontal="center" vertical="center"/>
    </xf>
    <xf numFmtId="0" fontId="3" fillId="2" borderId="0" xfId="2" applyFont="1" applyFill="1"/>
    <xf numFmtId="0" fontId="56" fillId="2" borderId="0" xfId="2" applyNumberFormat="1" applyFont="1" applyFill="1" applyBorder="1" applyAlignment="1">
      <alignment horizontal="center" vertical="top"/>
    </xf>
    <xf numFmtId="0" fontId="56" fillId="2" borderId="0" xfId="2" applyNumberFormat="1" applyFont="1" applyFill="1" applyBorder="1" applyAlignment="1">
      <alignment vertical="top"/>
    </xf>
    <xf numFmtId="0" fontId="34" fillId="2" borderId="0" xfId="2" applyNumberFormat="1" applyFont="1" applyFill="1" applyBorder="1" applyAlignment="1">
      <alignment vertical="top"/>
    </xf>
    <xf numFmtId="0" fontId="56" fillId="2" borderId="0" xfId="2" applyNumberFormat="1" applyFont="1" applyFill="1" applyBorder="1" applyAlignment="1">
      <alignment horizontal="center" vertical="center"/>
    </xf>
    <xf numFmtId="2" fontId="56" fillId="2" borderId="0" xfId="2" applyNumberFormat="1" applyFont="1" applyFill="1" applyBorder="1" applyAlignment="1">
      <alignment horizontal="center" vertical="center" shrinkToFit="1"/>
    </xf>
    <xf numFmtId="0" fontId="56" fillId="2" borderId="0" xfId="2" applyNumberFormat="1" applyFont="1" applyFill="1" applyBorder="1" applyAlignment="1">
      <alignment horizontal="center" vertical="center" shrinkToFit="1"/>
    </xf>
    <xf numFmtId="2" fontId="56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/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right"/>
    </xf>
    <xf numFmtId="2" fontId="2" fillId="2" borderId="0" xfId="2" applyNumberFormat="1" applyFont="1" applyFill="1"/>
    <xf numFmtId="4" fontId="82" fillId="2" borderId="14" xfId="2" applyNumberFormat="1" applyFont="1" applyFill="1" applyBorder="1" applyAlignment="1">
      <alignment vertical="center"/>
    </xf>
    <xf numFmtId="0" fontId="84" fillId="2" borderId="0" xfId="2" applyFont="1" applyFill="1"/>
    <xf numFmtId="49" fontId="33" fillId="2" borderId="0" xfId="2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2" fillId="2" borderId="0" xfId="2" applyFont="1" applyFill="1" applyBorder="1" applyAlignment="1">
      <alignment vertical="center"/>
    </xf>
    <xf numFmtId="0" fontId="32" fillId="2" borderId="0" xfId="2" applyFont="1" applyFill="1" applyBorder="1" applyAlignment="1"/>
    <xf numFmtId="0" fontId="34" fillId="2" borderId="55" xfId="0" applyNumberFormat="1" applyFont="1" applyFill="1" applyBorder="1" applyAlignment="1">
      <alignment horizontal="center" vertical="center" shrinkToFit="1"/>
    </xf>
    <xf numFmtId="2" fontId="50" fillId="2" borderId="0" xfId="2" applyNumberFormat="1" applyFont="1" applyFill="1" applyBorder="1" applyAlignment="1">
      <alignment horizontal="left" vertical="center"/>
    </xf>
    <xf numFmtId="0" fontId="46" fillId="2" borderId="0" xfId="2" applyFont="1" applyFill="1" applyBorder="1"/>
    <xf numFmtId="0" fontId="42" fillId="2" borderId="0" xfId="2" applyFont="1" applyFill="1" applyBorder="1"/>
    <xf numFmtId="2" fontId="46" fillId="2" borderId="0" xfId="2" applyNumberFormat="1" applyFont="1" applyFill="1" applyBorder="1"/>
    <xf numFmtId="167" fontId="48" fillId="2" borderId="0" xfId="2" applyNumberFormat="1" applyFont="1" applyFill="1"/>
    <xf numFmtId="0" fontId="35" fillId="2" borderId="27" xfId="2" applyFont="1" applyFill="1" applyBorder="1"/>
    <xf numFmtId="0" fontId="35" fillId="2" borderId="28" xfId="2" applyFont="1" applyFill="1" applyBorder="1"/>
    <xf numFmtId="0" fontId="35" fillId="2" borderId="29" xfId="2" applyFont="1" applyFill="1" applyBorder="1"/>
    <xf numFmtId="169" fontId="47" fillId="2" borderId="0" xfId="2" applyNumberFormat="1" applyFont="1" applyFill="1" applyBorder="1" applyAlignment="1">
      <alignment vertical="center"/>
    </xf>
    <xf numFmtId="0" fontId="83" fillId="2" borderId="37" xfId="0" applyFont="1" applyFill="1" applyBorder="1"/>
    <xf numFmtId="0" fontId="83" fillId="2" borderId="38" xfId="0" applyFont="1" applyFill="1" applyBorder="1"/>
    <xf numFmtId="0" fontId="83" fillId="2" borderId="39" xfId="0" applyFont="1" applyFill="1" applyBorder="1"/>
    <xf numFmtId="0" fontId="48" fillId="2" borderId="0" xfId="2" applyFont="1" applyFill="1" applyAlignment="1">
      <alignment vertical="center" shrinkToFit="1"/>
    </xf>
    <xf numFmtId="0" fontId="83" fillId="2" borderId="45" xfId="0" applyFont="1" applyFill="1" applyBorder="1"/>
    <xf numFmtId="0" fontId="83" fillId="2" borderId="46" xfId="0" applyFont="1" applyFill="1" applyBorder="1"/>
    <xf numFmtId="0" fontId="83" fillId="2" borderId="47" xfId="0" applyFont="1" applyFill="1" applyBorder="1"/>
    <xf numFmtId="0" fontId="9" fillId="2" borderId="0" xfId="2" applyFont="1" applyFill="1" applyAlignment="1">
      <alignment vertical="center" shrinkToFit="1"/>
    </xf>
    <xf numFmtId="0" fontId="83" fillId="2" borderId="48" xfId="0" applyFont="1" applyFill="1" applyBorder="1"/>
    <xf numFmtId="0" fontId="83" fillId="2" borderId="0" xfId="0" applyFont="1" applyFill="1" applyBorder="1"/>
    <xf numFmtId="0" fontId="83" fillId="2" borderId="22" xfId="0" applyFont="1" applyFill="1" applyBorder="1"/>
    <xf numFmtId="0" fontId="51" fillId="2" borderId="0" xfId="2" applyFont="1" applyFill="1"/>
    <xf numFmtId="0" fontId="35" fillId="2" borderId="0" xfId="4" applyFont="1" applyFill="1"/>
    <xf numFmtId="0" fontId="83" fillId="2" borderId="53" xfId="0" applyFont="1" applyFill="1" applyBorder="1"/>
    <xf numFmtId="0" fontId="83" fillId="2" borderId="26" xfId="0" applyFont="1" applyFill="1" applyBorder="1"/>
    <xf numFmtId="0" fontId="83" fillId="2" borderId="54" xfId="0" applyFont="1" applyFill="1" applyBorder="1"/>
    <xf numFmtId="0" fontId="39" fillId="2" borderId="53" xfId="2" applyFont="1" applyFill="1" applyBorder="1" applyAlignment="1">
      <alignment horizontal="center" vertical="center" wrapText="1"/>
    </xf>
    <xf numFmtId="0" fontId="53" fillId="2" borderId="26" xfId="2" applyFont="1" applyFill="1" applyBorder="1" applyAlignment="1">
      <alignment horizontal="center" vertical="center" wrapText="1"/>
    </xf>
    <xf numFmtId="0" fontId="53" fillId="2" borderId="26" xfId="2" applyFont="1" applyFill="1" applyBorder="1" applyAlignment="1">
      <alignment horizontal="center" vertical="center"/>
    </xf>
    <xf numFmtId="1" fontId="53" fillId="2" borderId="58" xfId="2" applyNumberFormat="1" applyFont="1" applyFill="1" applyBorder="1" applyAlignment="1">
      <alignment horizontal="center" vertical="center"/>
    </xf>
    <xf numFmtId="0" fontId="51" fillId="2" borderId="0" xfId="2" applyFont="1" applyFill="1" applyAlignment="1">
      <alignment horizontal="center" vertical="center"/>
    </xf>
    <xf numFmtId="0" fontId="83" fillId="2" borderId="0" xfId="0" applyFont="1" applyFill="1"/>
    <xf numFmtId="0" fontId="35" fillId="2" borderId="0" xfId="0" applyFont="1" applyFill="1"/>
    <xf numFmtId="0" fontId="46" fillId="2" borderId="43" xfId="2" applyNumberFormat="1" applyFont="1" applyFill="1" applyBorder="1" applyAlignment="1">
      <alignment vertical="top"/>
    </xf>
    <xf numFmtId="164" fontId="46" fillId="2" borderId="0" xfId="2" applyNumberFormat="1" applyFont="1" applyFill="1" applyBorder="1" applyAlignment="1">
      <alignment horizontal="center" vertical="center"/>
    </xf>
    <xf numFmtId="2" fontId="46" fillId="2" borderId="42" xfId="2" applyNumberFormat="1" applyFont="1" applyFill="1" applyBorder="1" applyAlignment="1">
      <alignment horizontal="center" vertical="center" shrinkToFit="1"/>
    </xf>
    <xf numFmtId="0" fontId="46" fillId="2" borderId="0" xfId="2" applyNumberFormat="1" applyFont="1" applyFill="1" applyBorder="1" applyAlignment="1">
      <alignment horizontal="center" vertical="center" shrinkToFit="1"/>
    </xf>
    <xf numFmtId="2" fontId="46" fillId="2" borderId="0" xfId="2" applyNumberFormat="1" applyFont="1" applyFill="1" applyBorder="1" applyAlignment="1">
      <alignment horizontal="center" vertical="center"/>
    </xf>
    <xf numFmtId="2" fontId="46" fillId="2" borderId="0" xfId="2" applyNumberFormat="1" applyFont="1" applyFill="1" applyBorder="1" applyAlignment="1">
      <alignment horizontal="center" vertical="center" shrinkToFit="1"/>
    </xf>
    <xf numFmtId="2" fontId="59" fillId="2" borderId="43" xfId="2" applyNumberFormat="1" applyFont="1" applyFill="1" applyBorder="1" applyAlignment="1">
      <alignment horizontal="center" vertical="center" shrinkToFit="1"/>
    </xf>
    <xf numFmtId="9" fontId="46" fillId="2" borderId="0" xfId="2" applyNumberFormat="1" applyFont="1" applyFill="1" applyBorder="1" applyAlignment="1">
      <alignment horizontal="center" vertical="center"/>
    </xf>
    <xf numFmtId="0" fontId="46" fillId="2" borderId="0" xfId="2" applyNumberFormat="1" applyFont="1" applyFill="1" applyBorder="1" applyAlignment="1">
      <alignment horizontal="center" vertical="center"/>
    </xf>
    <xf numFmtId="0" fontId="57" fillId="2" borderId="69" xfId="2" applyNumberFormat="1" applyFont="1" applyFill="1" applyBorder="1" applyAlignment="1">
      <alignment horizontal="right" vertical="center"/>
    </xf>
    <xf numFmtId="2" fontId="49" fillId="2" borderId="68" xfId="2" applyNumberFormat="1" applyFont="1" applyFill="1" applyBorder="1" applyAlignment="1">
      <alignment horizontal="center" vertical="center"/>
    </xf>
    <xf numFmtId="2" fontId="49" fillId="2" borderId="68" xfId="2" applyNumberFormat="1" applyFont="1" applyFill="1" applyBorder="1" applyAlignment="1">
      <alignment horizontal="center" vertical="center" shrinkToFit="1"/>
    </xf>
    <xf numFmtId="0" fontId="85" fillId="2" borderId="0" xfId="2" applyFont="1" applyFill="1" applyBorder="1" applyAlignment="1">
      <alignment horizontal="center"/>
    </xf>
    <xf numFmtId="0" fontId="49" fillId="2" borderId="0" xfId="2" applyFont="1" applyFill="1" applyBorder="1" applyAlignment="1">
      <alignment horizontal="right"/>
    </xf>
    <xf numFmtId="0" fontId="49" fillId="2" borderId="0" xfId="2" applyFont="1" applyFill="1" applyBorder="1" applyAlignment="1"/>
    <xf numFmtId="0" fontId="48" fillId="2" borderId="0" xfId="2" applyFont="1" applyFill="1" applyBorder="1" applyAlignment="1"/>
    <xf numFmtId="0" fontId="85" fillId="2" borderId="0" xfId="2" applyFont="1" applyFill="1" applyBorder="1" applyAlignment="1">
      <alignment horizontal="left"/>
    </xf>
    <xf numFmtId="0" fontId="49" fillId="2" borderId="0" xfId="2" applyFont="1" applyFill="1" applyBorder="1" applyAlignment="1">
      <alignment horizontal="center"/>
    </xf>
    <xf numFmtId="0" fontId="49" fillId="2" borderId="0" xfId="2" applyFont="1" applyFill="1" applyBorder="1" applyAlignment="1">
      <alignment horizontal="center" vertical="center"/>
    </xf>
    <xf numFmtId="0" fontId="85" fillId="2" borderId="0" xfId="2" applyFont="1" applyFill="1" applyBorder="1" applyAlignment="1">
      <alignment horizontal="center" vertical="center"/>
    </xf>
    <xf numFmtId="0" fontId="48" fillId="2" borderId="0" xfId="2" applyFont="1" applyFill="1" applyBorder="1" applyAlignment="1">
      <alignment horizontal="center" vertical="center"/>
    </xf>
    <xf numFmtId="169" fontId="48" fillId="2" borderId="0" xfId="2" applyNumberFormat="1" applyFont="1" applyFill="1" applyBorder="1" applyAlignment="1"/>
    <xf numFmtId="0" fontId="85" fillId="2" borderId="0" xfId="5" applyFont="1" applyFill="1" applyBorder="1" applyAlignment="1">
      <alignment horizontal="left"/>
    </xf>
    <xf numFmtId="2" fontId="34" fillId="2" borderId="81" xfId="0" applyNumberFormat="1" applyFont="1" applyFill="1" applyBorder="1" applyAlignment="1">
      <alignment horizontal="center" vertical="center" shrinkToFit="1"/>
    </xf>
    <xf numFmtId="2" fontId="57" fillId="2" borderId="68" xfId="2" applyNumberFormat="1" applyFont="1" applyFill="1" applyBorder="1" applyAlignment="1">
      <alignment horizontal="center" vertical="center"/>
    </xf>
    <xf numFmtId="0" fontId="84" fillId="2" borderId="0" xfId="2" applyFont="1" applyFill="1" applyAlignment="1">
      <alignment horizontal="center"/>
    </xf>
    <xf numFmtId="165" fontId="34" fillId="2" borderId="64" xfId="0" applyNumberFormat="1" applyFont="1" applyFill="1" applyBorder="1" applyAlignment="1">
      <alignment horizontal="center" vertical="center"/>
    </xf>
    <xf numFmtId="165" fontId="34" fillId="2" borderId="14" xfId="0" applyNumberFormat="1" applyFont="1" applyFill="1" applyBorder="1" applyAlignment="1">
      <alignment horizontal="center" vertical="center"/>
    </xf>
    <xf numFmtId="2" fontId="58" fillId="2" borderId="69" xfId="2" applyNumberFormat="1" applyFont="1" applyFill="1" applyBorder="1" applyAlignment="1">
      <alignment horizontal="center" vertical="center" shrinkToFit="1"/>
    </xf>
    <xf numFmtId="167" fontId="34" fillId="2" borderId="0" xfId="0" applyNumberFormat="1" applyFont="1" applyFill="1" applyAlignment="1">
      <alignment vertical="top"/>
    </xf>
    <xf numFmtId="165" fontId="34" fillId="2" borderId="63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35" fillId="2" borderId="0" xfId="7" applyNumberFormat="1" applyFont="1" applyFill="1" applyAlignment="1">
      <alignment vertical="top"/>
    </xf>
    <xf numFmtId="0" fontId="34" fillId="2" borderId="63" xfId="0" applyNumberFormat="1" applyFont="1" applyFill="1" applyBorder="1" applyAlignment="1">
      <alignment horizontal="center" vertical="center" shrinkToFit="1"/>
    </xf>
    <xf numFmtId="2" fontId="34" fillId="2" borderId="63" xfId="0" applyNumberFormat="1" applyFont="1" applyFill="1" applyBorder="1" applyAlignment="1">
      <alignment horizontal="center" vertical="center" shrinkToFit="1"/>
    </xf>
    <xf numFmtId="2" fontId="34" fillId="2" borderId="86" xfId="0" applyNumberFormat="1" applyFont="1" applyFill="1" applyBorder="1" applyAlignment="1">
      <alignment horizontal="center" vertical="center" shrinkToFit="1"/>
    </xf>
    <xf numFmtId="49" fontId="33" fillId="2" borderId="87" xfId="0" applyNumberFormat="1" applyFont="1" applyFill="1" applyBorder="1" applyAlignment="1">
      <alignment horizontal="left" vertical="center" wrapText="1"/>
    </xf>
    <xf numFmtId="2" fontId="34" fillId="2" borderId="63" xfId="0" applyNumberFormat="1" applyFont="1" applyFill="1" applyBorder="1" applyAlignment="1">
      <alignment horizontal="center" vertical="center"/>
    </xf>
    <xf numFmtId="49" fontId="33" fillId="2" borderId="56" xfId="0" applyNumberFormat="1" applyFont="1" applyFill="1" applyBorder="1" applyAlignment="1">
      <alignment horizontal="left" vertical="center" wrapText="1"/>
    </xf>
    <xf numFmtId="49" fontId="33" fillId="2" borderId="89" xfId="0" applyNumberFormat="1" applyFont="1" applyFill="1" applyBorder="1" applyAlignment="1">
      <alignment horizontal="left" vertical="center" wrapText="1"/>
    </xf>
    <xf numFmtId="0" fontId="34" fillId="2" borderId="64" xfId="0" applyNumberFormat="1" applyFont="1" applyFill="1" applyBorder="1" applyAlignment="1">
      <alignment horizontal="center" vertical="center" shrinkToFit="1"/>
    </xf>
    <xf numFmtId="165" fontId="34" fillId="2" borderId="83" xfId="0" applyNumberFormat="1" applyFont="1" applyFill="1" applyBorder="1" applyAlignment="1">
      <alignment horizontal="center" vertical="center" shrinkToFit="1"/>
    </xf>
    <xf numFmtId="2" fontId="34" fillId="2" borderId="83" xfId="0" applyNumberFormat="1" applyFont="1" applyFill="1" applyBorder="1" applyAlignment="1">
      <alignment horizontal="center" vertical="center"/>
    </xf>
    <xf numFmtId="2" fontId="34" fillId="2" borderId="90" xfId="0" applyNumberFormat="1" applyFont="1" applyFill="1" applyBorder="1" applyAlignment="1">
      <alignment horizontal="center" vertical="center" shrinkToFit="1"/>
    </xf>
    <xf numFmtId="0" fontId="34" fillId="2" borderId="88" xfId="0" applyNumberFormat="1" applyFont="1" applyFill="1" applyBorder="1" applyAlignment="1">
      <alignment horizontal="center" vertical="center" shrinkToFit="1"/>
    </xf>
    <xf numFmtId="165" fontId="34" fillId="2" borderId="88" xfId="0" applyNumberFormat="1" applyFont="1" applyFill="1" applyBorder="1" applyAlignment="1">
      <alignment horizontal="center" vertical="center" shrinkToFit="1"/>
    </xf>
    <xf numFmtId="2" fontId="34" fillId="2" borderId="88" xfId="0" applyNumberFormat="1" applyFont="1" applyFill="1" applyBorder="1" applyAlignment="1">
      <alignment horizontal="center" vertical="center"/>
    </xf>
    <xf numFmtId="165" fontId="34" fillId="2" borderId="88" xfId="0" applyNumberFormat="1" applyFont="1" applyFill="1" applyBorder="1" applyAlignment="1">
      <alignment horizontal="center" vertical="center"/>
    </xf>
    <xf numFmtId="2" fontId="34" fillId="2" borderId="94" xfId="0" applyNumberFormat="1" applyFont="1" applyFill="1" applyBorder="1" applyAlignment="1">
      <alignment horizontal="center" vertical="center" shrinkToFit="1"/>
    </xf>
    <xf numFmtId="49" fontId="33" fillId="2" borderId="91" xfId="0" applyNumberFormat="1" applyFont="1" applyFill="1" applyBorder="1" applyAlignment="1">
      <alignment horizontal="left" vertical="center" wrapText="1"/>
    </xf>
    <xf numFmtId="0" fontId="34" fillId="2" borderId="14" xfId="0" applyNumberFormat="1" applyFont="1" applyFill="1" applyBorder="1" applyAlignment="1">
      <alignment horizontal="center" vertical="center" shrinkToFit="1"/>
    </xf>
    <xf numFmtId="2" fontId="34" fillId="2" borderId="14" xfId="0" applyNumberFormat="1" applyFont="1" applyFill="1" applyBorder="1" applyAlignment="1">
      <alignment horizontal="center" vertical="center"/>
    </xf>
    <xf numFmtId="2" fontId="34" fillId="2" borderId="92" xfId="0" applyNumberFormat="1" applyFont="1" applyFill="1" applyBorder="1" applyAlignment="1">
      <alignment horizontal="center" vertical="center" shrinkToFit="1"/>
    </xf>
    <xf numFmtId="49" fontId="33" fillId="2" borderId="93" xfId="0" applyNumberFormat="1" applyFont="1" applyFill="1" applyBorder="1" applyAlignment="1">
      <alignment horizontal="left" vertical="center" wrapText="1"/>
    </xf>
    <xf numFmtId="168" fontId="34" fillId="2" borderId="64" xfId="0" applyNumberFormat="1" applyFont="1" applyFill="1" applyBorder="1" applyAlignment="1">
      <alignment horizontal="center" vertical="center" shrinkToFit="1"/>
    </xf>
    <xf numFmtId="2" fontId="34" fillId="2" borderId="64" xfId="0" applyNumberFormat="1" applyFont="1" applyFill="1" applyBorder="1" applyAlignment="1">
      <alignment horizontal="center" vertical="center" shrinkToFit="1"/>
    </xf>
    <xf numFmtId="2" fontId="33" fillId="2" borderId="55" xfId="0" applyNumberFormat="1" applyFont="1" applyFill="1" applyBorder="1" applyAlignment="1">
      <alignment horizontal="left" vertical="top"/>
    </xf>
    <xf numFmtId="2" fontId="33" fillId="2" borderId="1" xfId="0" applyNumberFormat="1" applyFont="1" applyFill="1" applyBorder="1" applyAlignment="1">
      <alignment horizontal="left" vertical="top"/>
    </xf>
    <xf numFmtId="165" fontId="34" fillId="2" borderId="55" xfId="0" applyNumberFormat="1" applyFont="1" applyFill="1" applyBorder="1" applyAlignment="1">
      <alignment horizontal="center" vertical="top"/>
    </xf>
    <xf numFmtId="0" fontId="88" fillId="2" borderId="0" xfId="166" applyFont="1" applyFill="1"/>
    <xf numFmtId="167" fontId="35" fillId="2" borderId="0" xfId="166" applyNumberFormat="1" applyFont="1" applyFill="1"/>
    <xf numFmtId="49" fontId="39" fillId="2" borderId="26" xfId="166" applyNumberFormat="1" applyFont="1" applyFill="1" applyBorder="1" applyAlignment="1">
      <alignment horizontal="center" vertical="center" wrapText="1"/>
    </xf>
    <xf numFmtId="49" fontId="39" fillId="2" borderId="58" xfId="166" applyNumberFormat="1" applyFont="1" applyFill="1" applyBorder="1" applyAlignment="1">
      <alignment horizontal="center" vertical="center" wrapText="1"/>
    </xf>
    <xf numFmtId="2" fontId="34" fillId="2" borderId="26" xfId="166" applyNumberFormat="1" applyFont="1" applyFill="1" applyBorder="1" applyAlignment="1">
      <alignment horizontal="center" vertical="center"/>
    </xf>
    <xf numFmtId="2" fontId="34" fillId="2" borderId="54" xfId="166" applyNumberFormat="1" applyFont="1" applyFill="1" applyBorder="1" applyAlignment="1">
      <alignment horizontal="center" vertical="center"/>
    </xf>
    <xf numFmtId="0" fontId="39" fillId="2" borderId="66" xfId="75" applyNumberFormat="1" applyFont="1" applyFill="1" applyBorder="1" applyAlignment="1">
      <alignment horizontal="center" vertical="top"/>
    </xf>
    <xf numFmtId="0" fontId="39" fillId="2" borderId="55" xfId="75" applyNumberFormat="1" applyFont="1" applyFill="1" applyBorder="1" applyAlignment="1">
      <alignment vertical="top"/>
    </xf>
    <xf numFmtId="0" fontId="33" fillId="2" borderId="0" xfId="75" applyFont="1" applyFill="1" applyAlignment="1">
      <alignment horizontal="center" vertical="center"/>
    </xf>
    <xf numFmtId="0" fontId="34" fillId="2" borderId="48" xfId="75" applyNumberFormat="1" applyFont="1" applyFill="1" applyBorder="1" applyAlignment="1">
      <alignment horizontal="center" vertical="top"/>
    </xf>
    <xf numFmtId="0" fontId="34" fillId="2" borderId="0" xfId="75" applyNumberFormat="1" applyFont="1" applyFill="1" applyBorder="1" applyAlignment="1">
      <alignment vertical="top"/>
    </xf>
    <xf numFmtId="9" fontId="34" fillId="2" borderId="26" xfId="166" applyNumberFormat="1" applyFont="1" applyFill="1" applyBorder="1" applyAlignment="1">
      <alignment horizontal="center" vertical="center"/>
    </xf>
    <xf numFmtId="2" fontId="34" fillId="2" borderId="82" xfId="75" applyNumberFormat="1" applyFont="1" applyFill="1" applyBorder="1" applyAlignment="1">
      <alignment horizontal="center" vertical="center" shrinkToFit="1"/>
    </xf>
    <xf numFmtId="2" fontId="34" fillId="2" borderId="0" xfId="75" applyNumberFormat="1" applyFont="1" applyFill="1" applyBorder="1" applyAlignment="1">
      <alignment vertical="top"/>
    </xf>
    <xf numFmtId="2" fontId="34" fillId="2" borderId="0" xfId="75" applyNumberFormat="1" applyFont="1" applyFill="1" applyBorder="1" applyAlignment="1">
      <alignment vertical="top" shrinkToFit="1"/>
    </xf>
    <xf numFmtId="2" fontId="33" fillId="2" borderId="0" xfId="75" applyNumberFormat="1" applyFont="1" applyFill="1" applyBorder="1" applyAlignment="1">
      <alignment vertical="top"/>
    </xf>
    <xf numFmtId="0" fontId="34" fillId="2" borderId="0" xfId="75" applyNumberFormat="1" applyFont="1" applyFill="1" applyBorder="1" applyAlignment="1">
      <alignment horizontal="center" vertical="center" shrinkToFit="1"/>
    </xf>
    <xf numFmtId="2" fontId="34" fillId="2" borderId="0" xfId="75" applyNumberFormat="1" applyFont="1" applyFill="1" applyBorder="1" applyAlignment="1">
      <alignment horizontal="center" vertical="center"/>
    </xf>
    <xf numFmtId="2" fontId="34" fillId="2" borderId="0" xfId="75" applyNumberFormat="1" applyFont="1" applyFill="1" applyBorder="1" applyAlignment="1">
      <alignment horizontal="center" vertical="center" shrinkToFit="1"/>
    </xf>
    <xf numFmtId="168" fontId="34" fillId="2" borderId="22" xfId="75" applyNumberFormat="1" applyFont="1" applyFill="1" applyBorder="1" applyAlignment="1">
      <alignment vertical="center" shrinkToFit="1"/>
    </xf>
    <xf numFmtId="2" fontId="34" fillId="2" borderId="0" xfId="75" applyNumberFormat="1" applyFont="1" applyFill="1" applyBorder="1" applyAlignment="1">
      <alignment vertical="center" shrinkToFit="1"/>
    </xf>
    <xf numFmtId="0" fontId="3" fillId="2" borderId="60" xfId="75" applyFont="1" applyFill="1" applyBorder="1"/>
    <xf numFmtId="2" fontId="35" fillId="2" borderId="58" xfId="166" applyNumberFormat="1" applyFont="1" applyFill="1" applyBorder="1" applyAlignment="1">
      <alignment horizontal="right"/>
    </xf>
    <xf numFmtId="0" fontId="3" fillId="2" borderId="43" xfId="75" applyFont="1" applyFill="1" applyBorder="1"/>
    <xf numFmtId="0" fontId="34" fillId="2" borderId="26" xfId="166" applyNumberFormat="1" applyFont="1" applyFill="1" applyBorder="1" applyAlignment="1">
      <alignment horizontal="center" vertical="center"/>
    </xf>
    <xf numFmtId="2" fontId="35" fillId="2" borderId="84" xfId="166" applyNumberFormat="1" applyFont="1" applyFill="1" applyBorder="1" applyAlignment="1">
      <alignment horizontal="right" vertical="top"/>
    </xf>
    <xf numFmtId="0" fontId="34" fillId="2" borderId="2" xfId="75" applyNumberFormat="1" applyFont="1" applyFill="1" applyBorder="1" applyAlignment="1">
      <alignment vertical="top"/>
    </xf>
    <xf numFmtId="0" fontId="42" fillId="2" borderId="56" xfId="166" applyNumberFormat="1" applyFont="1" applyFill="1" applyBorder="1" applyAlignment="1">
      <alignment horizontal="right" vertical="center"/>
    </xf>
    <xf numFmtId="2" fontId="42" fillId="2" borderId="56" xfId="75" applyNumberFormat="1" applyFont="1" applyFill="1" applyBorder="1" applyAlignment="1">
      <alignment horizontal="right" vertical="center" shrinkToFit="1"/>
    </xf>
    <xf numFmtId="2" fontId="42" fillId="2" borderId="55" xfId="75" applyNumberFormat="1" applyFont="1" applyFill="1" applyBorder="1" applyAlignment="1">
      <alignment horizontal="right" vertical="center"/>
    </xf>
    <xf numFmtId="2" fontId="42" fillId="2" borderId="55" xfId="75" applyNumberFormat="1" applyFont="1" applyFill="1" applyBorder="1" applyAlignment="1">
      <alignment horizontal="right" vertical="center" shrinkToFit="1"/>
    </xf>
    <xf numFmtId="2" fontId="53" fillId="2" borderId="55" xfId="75" applyNumberFormat="1" applyFont="1" applyFill="1" applyBorder="1" applyAlignment="1">
      <alignment vertical="center"/>
    </xf>
    <xf numFmtId="0" fontId="39" fillId="2" borderId="55" xfId="75" applyNumberFormat="1" applyFont="1" applyFill="1" applyBorder="1" applyAlignment="1">
      <alignment horizontal="right" vertical="center" shrinkToFit="1"/>
    </xf>
    <xf numFmtId="2" fontId="39" fillId="2" borderId="55" xfId="75" applyNumberFormat="1" applyFont="1" applyFill="1" applyBorder="1" applyAlignment="1">
      <alignment horizontal="right" vertical="center"/>
    </xf>
    <xf numFmtId="2" fontId="39" fillId="2" borderId="55" xfId="75" applyNumberFormat="1" applyFont="1" applyFill="1" applyBorder="1" applyAlignment="1">
      <alignment horizontal="right" vertical="center" shrinkToFit="1"/>
    </xf>
    <xf numFmtId="168" fontId="39" fillId="2" borderId="55" xfId="75" applyNumberFormat="1" applyFont="1" applyFill="1" applyBorder="1" applyAlignment="1">
      <alignment horizontal="right" vertical="center" shrinkToFit="1"/>
    </xf>
    <xf numFmtId="0" fontId="3" fillId="2" borderId="57" xfId="75" applyFont="1" applyFill="1" applyBorder="1"/>
    <xf numFmtId="0" fontId="35" fillId="2" borderId="26" xfId="166" applyNumberFormat="1" applyFont="1" applyFill="1" applyBorder="1" applyAlignment="1">
      <alignment horizontal="left" vertical="center"/>
    </xf>
    <xf numFmtId="0" fontId="42" fillId="2" borderId="26" xfId="166" applyNumberFormat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12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24" fillId="0" borderId="7" xfId="248" applyFont="1" applyBorder="1" applyAlignment="1">
      <alignment horizontal="center" vertical="center" wrapText="1"/>
    </xf>
    <xf numFmtId="0" fontId="25" fillId="0" borderId="7" xfId="248" applyFont="1" applyBorder="1" applyAlignment="1">
      <alignment horizontal="center" vertical="center" wrapText="1"/>
    </xf>
    <xf numFmtId="0" fontId="18" fillId="0" borderId="7" xfId="248" applyFont="1" applyBorder="1" applyAlignment="1">
      <alignment horizontal="center" vertical="center" wrapText="1"/>
    </xf>
    <xf numFmtId="0" fontId="26" fillId="3" borderId="8" xfId="248" applyFont="1" applyFill="1" applyBorder="1" applyAlignment="1">
      <alignment horizontal="center" vertical="center" wrapText="1"/>
    </xf>
    <xf numFmtId="4" fontId="89" fillId="0" borderId="14" xfId="2" applyNumberFormat="1" applyFont="1" applyBorder="1" applyAlignment="1">
      <alignment horizontal="centerContinuous" vertical="center" wrapText="1"/>
    </xf>
    <xf numFmtId="4" fontId="10" fillId="2" borderId="14" xfId="2" applyNumberFormat="1" applyFont="1" applyFill="1" applyBorder="1" applyAlignment="1">
      <alignment horizontal="right" vertical="center"/>
    </xf>
    <xf numFmtId="4" fontId="82" fillId="0" borderId="14" xfId="2" applyNumberFormat="1" applyFont="1" applyFill="1" applyBorder="1" applyAlignment="1">
      <alignment vertical="center"/>
    </xf>
    <xf numFmtId="0" fontId="14" fillId="2" borderId="13" xfId="2" applyFont="1" applyFill="1" applyBorder="1" applyAlignment="1">
      <alignment horizontal="left" vertical="center" indent="24"/>
    </xf>
    <xf numFmtId="0" fontId="14" fillId="2" borderId="14" xfId="2" applyFont="1" applyFill="1" applyBorder="1" applyAlignment="1">
      <alignment horizontal="centerContinuous" vertical="center"/>
    </xf>
    <xf numFmtId="0" fontId="14" fillId="2" borderId="14" xfId="2" applyFont="1" applyFill="1" applyBorder="1" applyAlignment="1">
      <alignment horizontal="right" vertical="center" wrapText="1"/>
    </xf>
    <xf numFmtId="4" fontId="14" fillId="2" borderId="14" xfId="2" applyNumberFormat="1" applyFont="1" applyFill="1" applyBorder="1" applyAlignment="1">
      <alignment horizontal="right" vertical="center" wrapText="1"/>
    </xf>
    <xf numFmtId="4" fontId="82" fillId="2" borderId="14" xfId="2" applyNumberFormat="1" applyFont="1" applyFill="1" applyBorder="1" applyAlignment="1">
      <alignment horizontal="centerContinuous" vertical="center" wrapText="1"/>
    </xf>
    <xf numFmtId="3" fontId="10" fillId="2" borderId="14" xfId="2" applyNumberFormat="1" applyFont="1" applyFill="1" applyBorder="1" applyAlignment="1">
      <alignment vertical="center"/>
    </xf>
    <xf numFmtId="0" fontId="82" fillId="2" borderId="0" xfId="2" applyFont="1" applyFill="1"/>
    <xf numFmtId="0" fontId="14" fillId="2" borderId="14" xfId="2" applyFont="1" applyFill="1" applyBorder="1" applyAlignment="1">
      <alignment horizontal="centerContinuous" vertical="top" wrapText="1"/>
    </xf>
    <xf numFmtId="0" fontId="10" fillId="2" borderId="14" xfId="248" applyFont="1" applyFill="1" applyBorder="1" applyAlignment="1">
      <alignment horizontal="center" vertical="center"/>
    </xf>
    <xf numFmtId="4" fontId="90" fillId="2" borderId="14" xfId="2" applyNumberFormat="1" applyFont="1" applyFill="1" applyBorder="1" applyAlignment="1">
      <alignment horizontal="centerContinuous" vertical="center" wrapText="1"/>
    </xf>
    <xf numFmtId="4" fontId="82" fillId="0" borderId="14" xfId="2" applyNumberFormat="1" applyFont="1" applyBorder="1" applyAlignment="1">
      <alignment horizontal="right" vertical="center"/>
    </xf>
    <xf numFmtId="4" fontId="82" fillId="3" borderId="14" xfId="2" applyNumberFormat="1" applyFont="1" applyFill="1" applyBorder="1" applyAlignment="1">
      <alignment vertical="center"/>
    </xf>
    <xf numFmtId="2" fontId="30" fillId="0" borderId="0" xfId="2" applyNumberFormat="1" applyFont="1" applyBorder="1"/>
    <xf numFmtId="2" fontId="10" fillId="0" borderId="0" xfId="2" applyNumberFormat="1" applyFont="1" applyBorder="1"/>
    <xf numFmtId="0" fontId="37" fillId="2" borderId="0" xfId="2" applyFont="1" applyFill="1" applyBorder="1" applyAlignment="1">
      <alignment vertical="center"/>
    </xf>
    <xf numFmtId="0" fontId="33" fillId="2" borderId="0" xfId="2" applyFont="1" applyFill="1" applyBorder="1" applyAlignment="1">
      <alignment vertical="center"/>
    </xf>
    <xf numFmtId="0" fontId="61" fillId="2" borderId="0" xfId="2" applyFont="1" applyFill="1" applyAlignment="1">
      <alignment vertical="center"/>
    </xf>
    <xf numFmtId="0" fontId="35" fillId="0" borderId="0" xfId="0" applyFont="1"/>
    <xf numFmtId="2" fontId="33" fillId="2" borderId="55" xfId="0" applyNumberFormat="1" applyFont="1" applyFill="1" applyBorder="1" applyAlignment="1">
      <alignment vertical="top"/>
    </xf>
    <xf numFmtId="49" fontId="33" fillId="2" borderId="62" xfId="0" applyNumberFormat="1" applyFont="1" applyFill="1" applyBorder="1" applyAlignment="1">
      <alignment horizontal="left" vertical="center" wrapText="1"/>
    </xf>
    <xf numFmtId="168" fontId="34" fillId="2" borderId="63" xfId="0" applyNumberFormat="1" applyFont="1" applyFill="1" applyBorder="1" applyAlignment="1">
      <alignment horizontal="center" vertical="center" shrinkToFit="1"/>
    </xf>
    <xf numFmtId="2" fontId="33" fillId="2" borderId="56" xfId="0" applyNumberFormat="1" applyFont="1" applyFill="1" applyBorder="1" applyAlignment="1">
      <alignment vertical="top"/>
    </xf>
    <xf numFmtId="2" fontId="34" fillId="2" borderId="64" xfId="0" applyNumberFormat="1" applyFont="1" applyFill="1" applyBorder="1" applyAlignment="1">
      <alignment horizontal="center" vertical="center"/>
    </xf>
    <xf numFmtId="165" fontId="34" fillId="2" borderId="64" xfId="0" applyNumberFormat="1" applyFont="1" applyFill="1" applyBorder="1" applyAlignment="1">
      <alignment horizontal="center" vertical="center" shrinkToFit="1"/>
    </xf>
    <xf numFmtId="49" fontId="33" fillId="2" borderId="95" xfId="0" applyNumberFormat="1" applyFont="1" applyFill="1" applyBorder="1" applyAlignment="1">
      <alignment horizontal="left" vertical="top" wrapText="1"/>
    </xf>
    <xf numFmtId="49" fontId="33" fillId="2" borderId="97" xfId="0" applyNumberFormat="1" applyFont="1" applyFill="1" applyBorder="1" applyAlignment="1">
      <alignment horizontal="left" vertical="top" wrapText="1"/>
    </xf>
    <xf numFmtId="2" fontId="34" fillId="2" borderId="98" xfId="0" applyNumberFormat="1" applyFont="1" applyFill="1" applyBorder="1" applyAlignment="1">
      <alignment horizontal="center" vertical="center" shrinkToFit="1"/>
    </xf>
    <xf numFmtId="0" fontId="18" fillId="2" borderId="50" xfId="166" applyNumberFormat="1" applyFont="1" applyFill="1" applyBorder="1" applyAlignment="1">
      <alignment vertical="center"/>
    </xf>
    <xf numFmtId="0" fontId="18" fillId="2" borderId="26" xfId="166" applyNumberFormat="1" applyFont="1" applyFill="1" applyBorder="1" applyAlignment="1">
      <alignment vertical="center"/>
    </xf>
    <xf numFmtId="0" fontId="87" fillId="2" borderId="26" xfId="194" applyNumberFormat="1" applyFont="1" applyFill="1" applyBorder="1" applyAlignment="1">
      <alignment horizontal="left" vertical="top"/>
    </xf>
    <xf numFmtId="0" fontId="42" fillId="2" borderId="26" xfId="166" applyNumberFormat="1" applyFont="1" applyFill="1" applyBorder="1" applyAlignment="1">
      <alignment horizontal="left" vertical="top"/>
    </xf>
    <xf numFmtId="0" fontId="93" fillId="2" borderId="26" xfId="194" applyNumberFormat="1" applyFont="1" applyFill="1" applyBorder="1" applyAlignment="1">
      <alignment horizontal="left" vertical="center"/>
    </xf>
    <xf numFmtId="0" fontId="35" fillId="2" borderId="0" xfId="2" applyFont="1" applyFill="1" applyBorder="1" applyAlignment="1">
      <alignment horizontal="center" vertical="center"/>
    </xf>
    <xf numFmtId="4" fontId="33" fillId="2" borderId="0" xfId="75" applyNumberFormat="1" applyFont="1" applyFill="1" applyAlignment="1">
      <alignment horizontal="center" vertical="center"/>
    </xf>
    <xf numFmtId="0" fontId="86" fillId="2" borderId="0" xfId="2" applyFont="1" applyFill="1" applyBorder="1" applyAlignment="1"/>
    <xf numFmtId="0" fontId="48" fillId="2" borderId="0" xfId="2" applyFont="1" applyFill="1" applyBorder="1" applyAlignment="1">
      <alignment horizontal="right"/>
    </xf>
    <xf numFmtId="2" fontId="47" fillId="2" borderId="0" xfId="2" applyNumberFormat="1" applyFont="1" applyFill="1" applyBorder="1" applyAlignment="1">
      <alignment horizontal="left" vertical="center"/>
    </xf>
    <xf numFmtId="165" fontId="34" fillId="2" borderId="65" xfId="247" applyNumberFormat="1" applyFont="1" applyFill="1" applyBorder="1" applyAlignment="1">
      <alignment horizontal="center" vertical="center" shrinkToFit="1"/>
    </xf>
    <xf numFmtId="0" fontId="34" fillId="2" borderId="96" xfId="75" applyNumberFormat="1" applyFont="1" applyFill="1" applyBorder="1" applyAlignment="1">
      <alignment horizontal="center" vertical="top"/>
    </xf>
    <xf numFmtId="49" fontId="33" fillId="2" borderId="62" xfId="0" applyNumberFormat="1" applyFont="1" applyFill="1" applyBorder="1" applyAlignment="1">
      <alignment horizontal="left" vertical="top" wrapText="1"/>
    </xf>
    <xf numFmtId="10" fontId="35" fillId="2" borderId="0" xfId="166" applyNumberFormat="1" applyFont="1" applyFill="1" applyAlignment="1">
      <alignment horizontal="center"/>
    </xf>
    <xf numFmtId="10" fontId="34" fillId="2" borderId="54" xfId="166" applyNumberFormat="1" applyFont="1" applyFill="1" applyBorder="1" applyAlignment="1">
      <alignment horizontal="center" vertical="center"/>
    </xf>
    <xf numFmtId="10" fontId="39" fillId="2" borderId="54" xfId="166" applyNumberFormat="1" applyFont="1" applyFill="1" applyBorder="1" applyAlignment="1">
      <alignment horizontal="center" vertical="center"/>
    </xf>
    <xf numFmtId="0" fontId="39" fillId="2" borderId="58" xfId="166" applyNumberFormat="1" applyFont="1" applyFill="1" applyBorder="1" applyAlignment="1">
      <alignment horizontal="center" vertical="center" wrapText="1"/>
    </xf>
    <xf numFmtId="9" fontId="39" fillId="2" borderId="54" xfId="166" applyNumberFormat="1" applyFont="1" applyFill="1" applyBorder="1" applyAlignment="1">
      <alignment horizontal="center" vertical="center"/>
    </xf>
    <xf numFmtId="0" fontId="34" fillId="28" borderId="0" xfId="0" applyNumberFormat="1" applyFont="1" applyFill="1" applyAlignment="1">
      <alignment vertical="top"/>
    </xf>
    <xf numFmtId="167" fontId="35" fillId="2" borderId="0" xfId="2" applyNumberFormat="1" applyFont="1" applyFill="1" applyBorder="1" applyAlignment="1"/>
    <xf numFmtId="0" fontId="33" fillId="2" borderId="0" xfId="2" applyFont="1" applyFill="1" applyBorder="1" applyAlignment="1"/>
    <xf numFmtId="173" fontId="3" fillId="2" borderId="0" xfId="2" applyNumberFormat="1" applyFont="1" applyFill="1"/>
    <xf numFmtId="0" fontId="31" fillId="2" borderId="0" xfId="2" applyFont="1" applyFill="1" applyBorder="1" applyAlignment="1">
      <alignment horizontal="right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/>
    </xf>
    <xf numFmtId="0" fontId="57" fillId="2" borderId="66" xfId="2" applyNumberFormat="1" applyFont="1" applyFill="1" applyBorder="1" applyAlignment="1">
      <alignment horizontal="center" vertical="top"/>
    </xf>
    <xf numFmtId="0" fontId="57" fillId="2" borderId="55" xfId="2" applyNumberFormat="1" applyFont="1" applyFill="1" applyBorder="1" applyAlignment="1">
      <alignment vertical="top"/>
    </xf>
    <xf numFmtId="0" fontId="57" fillId="2" borderId="57" xfId="2" applyNumberFormat="1" applyFont="1" applyFill="1" applyBorder="1" applyAlignment="1">
      <alignment vertical="top"/>
    </xf>
    <xf numFmtId="0" fontId="57" fillId="2" borderId="55" xfId="2" applyNumberFormat="1" applyFont="1" applyFill="1" applyBorder="1" applyAlignment="1">
      <alignment horizontal="center" vertical="center"/>
    </xf>
    <xf numFmtId="2" fontId="57" fillId="2" borderId="56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center" vertical="top"/>
    </xf>
    <xf numFmtId="2" fontId="57" fillId="2" borderId="55" xfId="2" applyNumberFormat="1" applyFont="1" applyFill="1" applyBorder="1" applyAlignment="1">
      <alignment horizontal="center" vertical="top" shrinkToFit="1"/>
    </xf>
    <xf numFmtId="2" fontId="52" fillId="2" borderId="55" xfId="2" applyNumberFormat="1" applyFont="1" applyFill="1" applyBorder="1" applyAlignment="1">
      <alignment vertical="center"/>
    </xf>
    <xf numFmtId="0" fontId="57" fillId="2" borderId="55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center" vertical="center"/>
    </xf>
    <xf numFmtId="2" fontId="57" fillId="2" borderId="55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right" vertical="top" shrinkToFit="1"/>
    </xf>
    <xf numFmtId="2" fontId="58" fillId="2" borderId="57" xfId="2" applyNumberFormat="1" applyFont="1" applyFill="1" applyBorder="1" applyAlignment="1">
      <alignment horizontal="center" vertical="center" shrinkToFit="1"/>
    </xf>
    <xf numFmtId="0" fontId="39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/>
    </xf>
    <xf numFmtId="1" fontId="53" fillId="2" borderId="57" xfId="2" applyNumberFormat="1" applyFont="1" applyFill="1" applyBorder="1" applyAlignment="1">
      <alignment horizontal="center" vertical="center"/>
    </xf>
    <xf numFmtId="2" fontId="34" fillId="2" borderId="59" xfId="7" applyNumberFormat="1" applyFont="1" applyFill="1" applyBorder="1" applyAlignment="1">
      <alignment vertical="top"/>
    </xf>
    <xf numFmtId="2" fontId="34" fillId="2" borderId="82" xfId="7" applyNumberFormat="1" applyFont="1" applyFill="1" applyBorder="1" applyAlignment="1">
      <alignment horizontal="center" vertical="top"/>
    </xf>
    <xf numFmtId="2" fontId="34" fillId="2" borderId="60" xfId="7" applyNumberFormat="1" applyFont="1" applyFill="1" applyBorder="1" applyAlignment="1">
      <alignment horizontal="center" vertical="top"/>
    </xf>
    <xf numFmtId="2" fontId="34" fillId="2" borderId="51" xfId="7" applyNumberFormat="1" applyFont="1" applyFill="1" applyBorder="1" applyAlignment="1">
      <alignment vertical="top"/>
    </xf>
    <xf numFmtId="2" fontId="34" fillId="2" borderId="1" xfId="7" applyNumberFormat="1" applyFont="1" applyFill="1" applyBorder="1" applyAlignment="1">
      <alignment horizontal="center" vertical="top"/>
    </xf>
    <xf numFmtId="2" fontId="34" fillId="2" borderId="52" xfId="7" applyNumberFormat="1" applyFont="1" applyFill="1" applyBorder="1" applyAlignment="1">
      <alignment horizontal="center" vertical="top"/>
    </xf>
    <xf numFmtId="2" fontId="34" fillId="2" borderId="42" xfId="7" applyNumberFormat="1" applyFont="1" applyFill="1" applyBorder="1" applyAlignment="1">
      <alignment vertical="top"/>
    </xf>
    <xf numFmtId="0" fontId="34" fillId="2" borderId="0" xfId="7" applyNumberFormat="1" applyFont="1" applyFill="1" applyBorder="1" applyAlignment="1">
      <alignment horizontal="center" vertical="center" shrinkToFit="1"/>
    </xf>
    <xf numFmtId="2" fontId="34" fillId="2" borderId="0" xfId="7" applyNumberFormat="1" applyFont="1" applyFill="1" applyBorder="1" applyAlignment="1">
      <alignment horizontal="center" vertical="center"/>
    </xf>
    <xf numFmtId="2" fontId="34" fillId="2" borderId="0" xfId="7" applyNumberFormat="1" applyFont="1" applyFill="1" applyBorder="1" applyAlignment="1">
      <alignment horizontal="center" vertical="top"/>
    </xf>
    <xf numFmtId="2" fontId="34" fillId="2" borderId="43" xfId="7" applyNumberFormat="1" applyFont="1" applyFill="1" applyBorder="1" applyAlignment="1">
      <alignment horizontal="center" vertical="top" shrinkToFit="1"/>
    </xf>
    <xf numFmtId="0" fontId="56" fillId="2" borderId="0" xfId="0" applyNumberFormat="1" applyFont="1" applyFill="1" applyAlignment="1">
      <alignment vertical="top"/>
    </xf>
    <xf numFmtId="0" fontId="56" fillId="3" borderId="0" xfId="0" applyNumberFormat="1" applyFont="1" applyFill="1" applyAlignment="1">
      <alignment vertical="top"/>
    </xf>
    <xf numFmtId="0" fontId="35" fillId="0" borderId="0" xfId="7" applyNumberFormat="1" applyFont="1" applyFill="1" applyAlignment="1">
      <alignment vertical="top"/>
    </xf>
    <xf numFmtId="0" fontId="34" fillId="2" borderId="1" xfId="7" applyNumberFormat="1" applyFont="1" applyFill="1" applyBorder="1" applyAlignment="1">
      <alignment horizontal="center" vertical="center" shrinkToFit="1"/>
    </xf>
    <xf numFmtId="2" fontId="34" fillId="2" borderId="1" xfId="7" applyNumberFormat="1" applyFont="1" applyFill="1" applyBorder="1" applyAlignment="1">
      <alignment horizontal="center" vertical="center"/>
    </xf>
    <xf numFmtId="2" fontId="34" fillId="2" borderId="52" xfId="7" applyNumberFormat="1" applyFont="1" applyFill="1" applyBorder="1" applyAlignment="1">
      <alignment horizontal="center" vertical="top" shrinkToFit="1"/>
    </xf>
    <xf numFmtId="170" fontId="34" fillId="2" borderId="55" xfId="0" applyNumberFormat="1" applyFont="1" applyFill="1" applyBorder="1" applyAlignment="1">
      <alignment horizontal="center" vertical="center"/>
    </xf>
    <xf numFmtId="0" fontId="46" fillId="2" borderId="0" xfId="0" applyNumberFormat="1" applyFont="1" applyFill="1" applyAlignment="1">
      <alignment vertical="top"/>
    </xf>
    <xf numFmtId="165" fontId="87" fillId="2" borderId="83" xfId="0" applyNumberFormat="1" applyFont="1" applyFill="1" applyBorder="1" applyAlignment="1">
      <alignment horizontal="center" vertical="center" shrinkToFit="1"/>
    </xf>
    <xf numFmtId="165" fontId="87" fillId="2" borderId="14" xfId="0" applyNumberFormat="1" applyFont="1" applyFill="1" applyBorder="1" applyAlignment="1">
      <alignment horizontal="center" vertical="center" shrinkToFit="1"/>
    </xf>
    <xf numFmtId="165" fontId="87" fillId="2" borderId="88" xfId="0" applyNumberFormat="1" applyFont="1" applyFill="1" applyBorder="1" applyAlignment="1">
      <alignment horizontal="center" vertical="center" shrinkToFit="1"/>
    </xf>
    <xf numFmtId="0" fontId="3" fillId="29" borderId="0" xfId="2" applyFont="1" applyFill="1"/>
    <xf numFmtId="0" fontId="92" fillId="29" borderId="0" xfId="0" applyNumberFormat="1" applyFont="1" applyFill="1" applyAlignment="1">
      <alignment vertical="top"/>
    </xf>
    <xf numFmtId="165" fontId="34" fillId="2" borderId="106" xfId="0" applyNumberFormat="1" applyFont="1" applyFill="1" applyBorder="1" applyAlignment="1">
      <alignment horizontal="center" vertical="center"/>
    </xf>
    <xf numFmtId="165" fontId="34" fillId="2" borderId="92" xfId="0" applyNumberFormat="1" applyFont="1" applyFill="1" applyBorder="1" applyAlignment="1">
      <alignment horizontal="center" vertical="center" shrinkToFit="1"/>
    </xf>
    <xf numFmtId="0" fontId="92" fillId="2" borderId="0" xfId="0" applyNumberFormat="1" applyFont="1" applyFill="1" applyAlignment="1">
      <alignment vertical="top"/>
    </xf>
    <xf numFmtId="2" fontId="51" fillId="2" borderId="56" xfId="8" applyNumberFormat="1" applyFont="1" applyFill="1" applyBorder="1" applyAlignment="1">
      <alignment vertical="top"/>
    </xf>
    <xf numFmtId="2" fontId="51" fillId="2" borderId="55" xfId="8" applyNumberFormat="1" applyFont="1" applyFill="1" applyBorder="1" applyAlignment="1">
      <alignment vertical="top"/>
    </xf>
    <xf numFmtId="2" fontId="51" fillId="2" borderId="57" xfId="8" applyNumberFormat="1" applyFont="1" applyFill="1" applyBorder="1" applyAlignment="1">
      <alignment vertical="top"/>
    </xf>
    <xf numFmtId="2" fontId="33" fillId="2" borderId="55" xfId="0" applyNumberFormat="1" applyFont="1" applyFill="1" applyBorder="1" applyAlignment="1">
      <alignment horizontal="left" vertical="center"/>
    </xf>
    <xf numFmtId="2" fontId="34" fillId="2" borderId="55" xfId="0" applyNumberFormat="1" applyFont="1" applyFill="1" applyBorder="1" applyAlignment="1">
      <alignment horizontal="center" vertical="top"/>
    </xf>
    <xf numFmtId="10" fontId="39" fillId="2" borderId="0" xfId="0" applyNumberFormat="1" applyFont="1" applyFill="1" applyAlignment="1">
      <alignment vertical="top"/>
    </xf>
    <xf numFmtId="0" fontId="35" fillId="27" borderId="0" xfId="7" applyNumberFormat="1" applyFont="1" applyFill="1" applyAlignment="1">
      <alignment vertical="top"/>
    </xf>
    <xf numFmtId="0" fontId="34" fillId="30" borderId="0" xfId="0" applyNumberFormat="1" applyFont="1" applyFill="1" applyAlignment="1">
      <alignment vertical="top"/>
    </xf>
    <xf numFmtId="0" fontId="3" fillId="30" borderId="0" xfId="2" applyFont="1" applyFill="1"/>
    <xf numFmtId="0" fontId="92" fillId="30" borderId="0" xfId="0" applyNumberFormat="1" applyFont="1" applyFill="1" applyAlignment="1">
      <alignment vertical="top"/>
    </xf>
    <xf numFmtId="0" fontId="33" fillId="2" borderId="0" xfId="77" applyFont="1" applyFill="1" applyBorder="1" applyAlignment="1">
      <alignment horizontal="center" vertical="center"/>
    </xf>
    <xf numFmtId="0" fontId="42" fillId="2" borderId="55" xfId="77" applyFont="1" applyFill="1" applyBorder="1" applyAlignment="1">
      <alignment horizontal="center" vertical="center" wrapText="1"/>
    </xf>
    <xf numFmtId="0" fontId="42" fillId="2" borderId="55" xfId="77" applyFont="1" applyFill="1" applyBorder="1" applyAlignment="1">
      <alignment vertical="center" wrapText="1"/>
    </xf>
    <xf numFmtId="0" fontId="98" fillId="2" borderId="58" xfId="77" applyFont="1" applyFill="1" applyBorder="1" applyAlignment="1">
      <alignment horizontal="center" vertical="center" wrapText="1"/>
    </xf>
    <xf numFmtId="0" fontId="33" fillId="2" borderId="0" xfId="77" applyFont="1" applyFill="1" applyAlignment="1">
      <alignment horizontal="center" vertical="center"/>
    </xf>
    <xf numFmtId="2" fontId="34" fillId="2" borderId="59" xfId="79" applyNumberFormat="1" applyFont="1" applyFill="1" applyBorder="1" applyAlignment="1">
      <alignment horizontal="left" vertical="center"/>
    </xf>
    <xf numFmtId="2" fontId="34" fillId="2" borderId="82" xfId="79" applyNumberFormat="1" applyFont="1" applyFill="1" applyBorder="1" applyAlignment="1">
      <alignment vertical="top"/>
    </xf>
    <xf numFmtId="2" fontId="34" fillId="2" borderId="82" xfId="79" applyNumberFormat="1" applyFont="1" applyFill="1" applyBorder="1" applyAlignment="1">
      <alignment horizontal="center" vertical="top"/>
    </xf>
    <xf numFmtId="2" fontId="34" fillId="2" borderId="60" xfId="79" applyNumberFormat="1" applyFont="1" applyFill="1" applyBorder="1" applyAlignment="1">
      <alignment horizontal="center" vertical="top"/>
    </xf>
    <xf numFmtId="0" fontId="35" fillId="2" borderId="0" xfId="79" applyNumberFormat="1" applyFont="1" applyFill="1" applyAlignment="1">
      <alignment vertical="top"/>
    </xf>
    <xf numFmtId="2" fontId="34" fillId="2" borderId="51" xfId="79" applyNumberFormat="1" applyFont="1" applyFill="1" applyBorder="1" applyAlignment="1">
      <alignment horizontal="left" vertical="center"/>
    </xf>
    <xf numFmtId="2" fontId="34" fillId="2" borderId="1" xfId="79" applyNumberFormat="1" applyFont="1" applyFill="1" applyBorder="1" applyAlignment="1">
      <alignment vertical="top"/>
    </xf>
    <xf numFmtId="2" fontId="34" fillId="2" borderId="1" xfId="79" applyNumberFormat="1" applyFont="1" applyFill="1" applyBorder="1" applyAlignment="1">
      <alignment horizontal="center" vertical="top"/>
    </xf>
    <xf numFmtId="2" fontId="34" fillId="2" borderId="52" xfId="79" applyNumberFormat="1" applyFont="1" applyFill="1" applyBorder="1" applyAlignment="1">
      <alignment horizontal="center" vertical="top"/>
    </xf>
    <xf numFmtId="2" fontId="34" fillId="2" borderId="42" xfId="79" applyNumberFormat="1" applyFont="1" applyFill="1" applyBorder="1" applyAlignment="1">
      <alignment horizontal="left" vertical="center"/>
    </xf>
    <xf numFmtId="0" fontId="34" fillId="2" borderId="0" xfId="79" applyNumberFormat="1" applyFont="1" applyFill="1" applyBorder="1" applyAlignment="1">
      <alignment horizontal="center" vertical="center" shrinkToFit="1"/>
    </xf>
    <xf numFmtId="2" fontId="34" fillId="2" borderId="0" xfId="79" applyNumberFormat="1" applyFont="1" applyFill="1" applyBorder="1" applyAlignment="1">
      <alignment horizontal="center" vertical="center"/>
    </xf>
    <xf numFmtId="2" fontId="34" fillId="2" borderId="0" xfId="79" applyNumberFormat="1" applyFont="1" applyFill="1" applyBorder="1" applyAlignment="1">
      <alignment horizontal="center" vertical="top"/>
    </xf>
    <xf numFmtId="2" fontId="34" fillId="2" borderId="43" xfId="79" applyNumberFormat="1" applyFont="1" applyFill="1" applyBorder="1" applyAlignment="1">
      <alignment horizontal="center" vertical="top" shrinkToFit="1"/>
    </xf>
    <xf numFmtId="0" fontId="34" fillId="2" borderId="84" xfId="79" applyNumberFormat="1" applyFont="1" applyFill="1" applyBorder="1" applyAlignment="1">
      <alignment horizontal="center" vertical="top"/>
    </xf>
    <xf numFmtId="0" fontId="34" fillId="2" borderId="1" xfId="79" applyNumberFormat="1" applyFont="1" applyFill="1" applyBorder="1" applyAlignment="1">
      <alignment horizontal="center" vertical="center" shrinkToFit="1"/>
    </xf>
    <xf numFmtId="2" fontId="34" fillId="2" borderId="1" xfId="79" applyNumberFormat="1" applyFont="1" applyFill="1" applyBorder="1" applyAlignment="1">
      <alignment horizontal="center" vertical="center"/>
    </xf>
    <xf numFmtId="2" fontId="34" fillId="2" borderId="52" xfId="79" applyNumberFormat="1" applyFont="1" applyFill="1" applyBorder="1" applyAlignment="1">
      <alignment horizontal="center" vertical="top" shrinkToFit="1"/>
    </xf>
    <xf numFmtId="0" fontId="34" fillId="2" borderId="85" xfId="79" applyNumberFormat="1" applyFont="1" applyFill="1" applyBorder="1" applyAlignment="1">
      <alignment horizontal="center" vertical="top"/>
    </xf>
    <xf numFmtId="165" fontId="34" fillId="2" borderId="65" xfId="12" applyNumberFormat="1" applyFont="1" applyFill="1" applyBorder="1" applyAlignment="1">
      <alignment horizontal="center" vertical="center" shrinkToFit="1"/>
    </xf>
    <xf numFmtId="165" fontId="34" fillId="2" borderId="98" xfId="0" applyNumberFormat="1" applyFont="1" applyFill="1" applyBorder="1" applyAlignment="1">
      <alignment horizontal="center" vertical="center" shrinkToFit="1"/>
    </xf>
    <xf numFmtId="49" fontId="33" fillId="2" borderId="107" xfId="0" applyNumberFormat="1" applyFont="1" applyFill="1" applyBorder="1" applyAlignment="1">
      <alignment horizontal="left" vertical="center" wrapText="1"/>
    </xf>
    <xf numFmtId="169" fontId="34" fillId="2" borderId="14" xfId="0" applyNumberFormat="1" applyFont="1" applyFill="1" applyBorder="1" applyAlignment="1">
      <alignment horizontal="center" vertical="center" shrinkToFit="1"/>
    </xf>
    <xf numFmtId="165" fontId="34" fillId="2" borderId="14" xfId="0" applyNumberFormat="1" applyFont="1" applyFill="1" applyBorder="1" applyAlignment="1">
      <alignment horizontal="center" vertical="center" shrinkToFit="1"/>
    </xf>
    <xf numFmtId="2" fontId="34" fillId="2" borderId="92" xfId="0" applyNumberFormat="1" applyFont="1" applyFill="1" applyBorder="1" applyAlignment="1">
      <alignment horizontal="center" vertical="top" shrinkToFit="1"/>
    </xf>
    <xf numFmtId="167" fontId="56" fillId="2" borderId="0" xfId="0" applyNumberFormat="1" applyFont="1" applyFill="1" applyAlignment="1">
      <alignment vertical="top"/>
    </xf>
    <xf numFmtId="2" fontId="34" fillId="2" borderId="86" xfId="0" applyNumberFormat="1" applyFont="1" applyFill="1" applyBorder="1" applyAlignment="1">
      <alignment horizontal="center" vertical="top" shrinkToFit="1"/>
    </xf>
    <xf numFmtId="168" fontId="10" fillId="2" borderId="14" xfId="4" applyNumberFormat="1" applyFont="1" applyFill="1" applyBorder="1"/>
    <xf numFmtId="0" fontId="34" fillId="2" borderId="65" xfId="0" applyNumberFormat="1" applyFont="1" applyFill="1" applyBorder="1" applyAlignment="1">
      <alignment horizontal="center" vertical="center" shrinkToFit="1"/>
    </xf>
    <xf numFmtId="4" fontId="100" fillId="2" borderId="14" xfId="2" applyNumberFormat="1" applyFont="1" applyFill="1" applyBorder="1" applyAlignment="1">
      <alignment vertical="center"/>
    </xf>
    <xf numFmtId="168" fontId="7" fillId="2" borderId="26" xfId="75" applyNumberFormat="1" applyFont="1" applyFill="1" applyBorder="1"/>
    <xf numFmtId="168" fontId="41" fillId="2" borderId="57" xfId="166" applyNumberFormat="1" applyFont="1" applyFill="1" applyBorder="1" applyAlignment="1">
      <alignment horizontal="right"/>
    </xf>
    <xf numFmtId="174" fontId="3" fillId="2" borderId="0" xfId="2" applyNumberFormat="1" applyFont="1" applyFill="1"/>
    <xf numFmtId="0" fontId="32" fillId="2" borderId="0" xfId="2" applyFont="1" applyFill="1" applyBorder="1" applyAlignment="1">
      <alignment horizontal="center" vertical="center"/>
    </xf>
    <xf numFmtId="0" fontId="34" fillId="2" borderId="0" xfId="7" applyNumberFormat="1" applyFont="1" applyFill="1" applyAlignment="1">
      <alignment vertical="top"/>
    </xf>
    <xf numFmtId="165" fontId="34" fillId="2" borderId="65" xfId="79" applyNumberFormat="1" applyFont="1" applyFill="1" applyBorder="1" applyAlignment="1">
      <alignment horizontal="center" vertical="center" shrinkToFit="1"/>
    </xf>
    <xf numFmtId="169" fontId="34" fillId="27" borderId="26" xfId="166" applyNumberFormat="1" applyFont="1" applyFill="1" applyBorder="1" applyAlignment="1">
      <alignment horizontal="center" vertical="center"/>
    </xf>
    <xf numFmtId="168" fontId="34" fillId="2" borderId="55" xfId="0" applyNumberFormat="1" applyFont="1" applyFill="1" applyBorder="1" applyAlignment="1">
      <alignment horizontal="center" vertical="center"/>
    </xf>
    <xf numFmtId="2" fontId="34" fillId="2" borderId="88" xfId="0" applyNumberFormat="1" applyFont="1" applyFill="1" applyBorder="1" applyAlignment="1">
      <alignment horizontal="center" vertical="center" shrinkToFit="1"/>
    </xf>
    <xf numFmtId="0" fontId="34" fillId="0" borderId="0" xfId="0" applyNumberFormat="1" applyFont="1" applyFill="1" applyAlignment="1">
      <alignment vertical="top"/>
    </xf>
    <xf numFmtId="170" fontId="34" fillId="2" borderId="0" xfId="0" applyNumberFormat="1" applyFont="1" applyFill="1" applyAlignment="1">
      <alignment vertical="top"/>
    </xf>
    <xf numFmtId="0" fontId="46" fillId="29" borderId="0" xfId="0" applyNumberFormat="1" applyFont="1" applyFill="1" applyAlignment="1">
      <alignment vertical="top"/>
    </xf>
    <xf numFmtId="0" fontId="34" fillId="2" borderId="63" xfId="7" applyNumberFormat="1" applyFont="1" applyFill="1" applyBorder="1" applyAlignment="1">
      <alignment horizontal="center" vertical="center" shrinkToFit="1"/>
    </xf>
    <xf numFmtId="2" fontId="34" fillId="2" borderId="63" xfId="7" applyNumberFormat="1" applyFont="1" applyFill="1" applyBorder="1" applyAlignment="1">
      <alignment horizontal="center" vertical="center" shrinkToFit="1"/>
    </xf>
    <xf numFmtId="2" fontId="34" fillId="2" borderId="86" xfId="7" applyNumberFormat="1" applyFont="1" applyFill="1" applyBorder="1" applyAlignment="1">
      <alignment horizontal="center" vertical="center" shrinkToFit="1"/>
    </xf>
    <xf numFmtId="0" fontId="34" fillId="2" borderId="55" xfId="7" applyNumberFormat="1" applyFont="1" applyFill="1" applyBorder="1" applyAlignment="1">
      <alignment horizontal="center" vertical="center" shrinkToFit="1"/>
    </xf>
    <xf numFmtId="2" fontId="34" fillId="2" borderId="55" xfId="7" applyNumberFormat="1" applyFont="1" applyFill="1" applyBorder="1" applyAlignment="1">
      <alignment horizontal="center" vertical="center"/>
    </xf>
    <xf numFmtId="2" fontId="34" fillId="2" borderId="26" xfId="7" applyNumberFormat="1" applyFont="1" applyFill="1" applyBorder="1" applyAlignment="1">
      <alignment horizontal="center" vertical="center" shrinkToFit="1"/>
    </xf>
    <xf numFmtId="0" fontId="35" fillId="2" borderId="0" xfId="109" applyNumberFormat="1" applyFont="1" applyFill="1" applyAlignment="1">
      <alignment vertical="top"/>
    </xf>
    <xf numFmtId="2" fontId="34" fillId="2" borderId="60" xfId="7" applyNumberFormat="1" applyFont="1" applyFill="1" applyBorder="1" applyAlignment="1">
      <alignment horizontal="center" vertical="center" shrinkToFit="1"/>
    </xf>
    <xf numFmtId="2" fontId="34" fillId="2" borderId="52" xfId="7" applyNumberFormat="1" applyFont="1" applyFill="1" applyBorder="1" applyAlignment="1">
      <alignment horizontal="center" vertical="center" shrinkToFit="1"/>
    </xf>
    <xf numFmtId="0" fontId="35" fillId="31" borderId="0" xfId="7" applyFont="1" applyFill="1"/>
    <xf numFmtId="0" fontId="35" fillId="31" borderId="0" xfId="7" applyNumberFormat="1" applyFont="1" applyFill="1" applyAlignment="1">
      <alignment vertical="top"/>
    </xf>
    <xf numFmtId="0" fontId="35" fillId="30" borderId="0" xfId="7" applyFont="1" applyFill="1"/>
    <xf numFmtId="0" fontId="35" fillId="30" borderId="0" xfId="7" applyNumberFormat="1" applyFont="1" applyFill="1" applyAlignment="1">
      <alignment vertical="top"/>
    </xf>
    <xf numFmtId="0" fontId="35" fillId="32" borderId="0" xfId="7" applyNumberFormat="1" applyFont="1" applyFill="1" applyAlignment="1">
      <alignment vertical="top"/>
    </xf>
    <xf numFmtId="0" fontId="3" fillId="27" borderId="0" xfId="2" applyFont="1" applyFill="1"/>
    <xf numFmtId="0" fontId="35" fillId="27" borderId="0" xfId="109" applyNumberFormat="1" applyFont="1" applyFill="1" applyAlignment="1">
      <alignment vertical="top"/>
    </xf>
    <xf numFmtId="0" fontId="83" fillId="27" borderId="0" xfId="0" applyFont="1" applyFill="1"/>
    <xf numFmtId="0" fontId="0" fillId="27" borderId="0" xfId="0" applyFill="1"/>
    <xf numFmtId="0" fontId="34" fillId="27" borderId="0" xfId="7" applyNumberFormat="1" applyFont="1" applyFill="1" applyAlignment="1">
      <alignment vertical="top"/>
    </xf>
    <xf numFmtId="0" fontId="56" fillId="34" borderId="0" xfId="0" applyNumberFormat="1" applyFont="1" applyFill="1" applyAlignment="1">
      <alignment vertical="top"/>
    </xf>
    <xf numFmtId="167" fontId="56" fillId="34" borderId="0" xfId="0" applyNumberFormat="1" applyFont="1" applyFill="1" applyAlignment="1">
      <alignment vertical="top"/>
    </xf>
    <xf numFmtId="0" fontId="0" fillId="26" borderId="0" xfId="0" applyFill="1"/>
    <xf numFmtId="0" fontId="34" fillId="33" borderId="0" xfId="0" applyNumberFormat="1" applyFont="1" applyFill="1" applyAlignment="1">
      <alignment vertical="top"/>
    </xf>
    <xf numFmtId="167" fontId="34" fillId="33" borderId="0" xfId="0" applyNumberFormat="1" applyFont="1" applyFill="1" applyAlignment="1">
      <alignment vertical="top"/>
    </xf>
    <xf numFmtId="0" fontId="0" fillId="0" borderId="0" xfId="0" applyFill="1"/>
    <xf numFmtId="0" fontId="34" fillId="26" borderId="0" xfId="7" applyNumberFormat="1" applyFont="1" applyFill="1" applyAlignment="1">
      <alignment vertical="top"/>
    </xf>
    <xf numFmtId="0" fontId="35" fillId="0" borderId="0" xfId="7" applyNumberFormat="1" applyFont="1" applyAlignment="1">
      <alignment vertical="top"/>
    </xf>
    <xf numFmtId="0" fontId="34" fillId="29" borderId="0" xfId="0" applyNumberFormat="1" applyFont="1" applyFill="1" applyAlignment="1">
      <alignment vertical="top"/>
    </xf>
    <xf numFmtId="167" fontId="34" fillId="28" borderId="0" xfId="0" applyNumberFormat="1" applyFont="1" applyFill="1" applyAlignment="1">
      <alignment vertical="top"/>
    </xf>
    <xf numFmtId="167" fontId="34" fillId="30" borderId="0" xfId="0" applyNumberFormat="1" applyFont="1" applyFill="1" applyAlignment="1">
      <alignment vertical="top"/>
    </xf>
    <xf numFmtId="0" fontId="34" fillId="35" borderId="0" xfId="0" applyNumberFormat="1" applyFont="1" applyFill="1" applyAlignment="1">
      <alignment vertical="top"/>
    </xf>
    <xf numFmtId="0" fontId="3" fillId="35" borderId="0" xfId="2" applyFont="1" applyFill="1"/>
    <xf numFmtId="0" fontId="92" fillId="35" borderId="0" xfId="0" applyNumberFormat="1" applyFont="1" applyFill="1" applyAlignment="1">
      <alignment vertical="top"/>
    </xf>
    <xf numFmtId="0" fontId="33" fillId="2" borderId="53" xfId="77" applyFont="1" applyFill="1" applyBorder="1" applyAlignment="1">
      <alignment horizontal="center" vertical="center"/>
    </xf>
    <xf numFmtId="0" fontId="34" fillId="2" borderId="82" xfId="7" applyNumberFormat="1" applyFont="1" applyFill="1" applyBorder="1" applyAlignment="1">
      <alignment horizontal="center" vertical="center" shrinkToFit="1"/>
    </xf>
    <xf numFmtId="2" fontId="34" fillId="2" borderId="82" xfId="7" applyNumberFormat="1" applyFont="1" applyFill="1" applyBorder="1" applyAlignment="1">
      <alignment horizontal="center" vertical="center"/>
    </xf>
    <xf numFmtId="2" fontId="34" fillId="2" borderId="60" xfId="7" applyNumberFormat="1" applyFont="1" applyFill="1" applyBorder="1" applyAlignment="1">
      <alignment horizontal="center" vertical="top" shrinkToFit="1"/>
    </xf>
    <xf numFmtId="2" fontId="34" fillId="2" borderId="82" xfId="7" applyNumberFormat="1" applyFont="1" applyFill="1" applyBorder="1" applyAlignment="1">
      <alignment vertical="top"/>
    </xf>
    <xf numFmtId="2" fontId="34" fillId="2" borderId="1" xfId="7" applyNumberFormat="1" applyFont="1" applyFill="1" applyBorder="1" applyAlignment="1">
      <alignment vertical="top"/>
    </xf>
    <xf numFmtId="2" fontId="34" fillId="2" borderId="55" xfId="7" applyNumberFormat="1" applyFont="1" applyFill="1" applyBorder="1" applyAlignment="1">
      <alignment vertical="top"/>
    </xf>
    <xf numFmtId="2" fontId="34" fillId="2" borderId="55" xfId="7" applyNumberFormat="1" applyFont="1" applyFill="1" applyBorder="1" applyAlignment="1">
      <alignment horizontal="center" vertical="top"/>
    </xf>
    <xf numFmtId="2" fontId="34" fillId="2" borderId="57" xfId="7" applyNumberFormat="1" applyFont="1" applyFill="1" applyBorder="1" applyAlignment="1">
      <alignment horizontal="center" vertical="top" shrinkToFit="1"/>
    </xf>
    <xf numFmtId="49" fontId="34" fillId="2" borderId="62" xfId="7" applyNumberFormat="1" applyFont="1" applyFill="1" applyBorder="1" applyAlignment="1">
      <alignment horizontal="left" vertical="center" wrapText="1"/>
    </xf>
    <xf numFmtId="2" fontId="34" fillId="2" borderId="63" xfId="7" applyNumberFormat="1" applyFont="1" applyFill="1" applyBorder="1" applyAlignment="1">
      <alignment horizontal="center" vertical="center"/>
    </xf>
    <xf numFmtId="165" fontId="87" fillId="2" borderId="64" xfId="0" applyNumberFormat="1" applyFont="1" applyFill="1" applyBorder="1" applyAlignment="1">
      <alignment horizontal="center" vertical="center" shrinkToFit="1"/>
    </xf>
    <xf numFmtId="165" fontId="87" fillId="2" borderId="18" xfId="0" applyNumberFormat="1" applyFont="1" applyFill="1" applyBorder="1" applyAlignment="1">
      <alignment horizontal="center" vertical="center" shrinkToFit="1"/>
    </xf>
    <xf numFmtId="2" fontId="46" fillId="2" borderId="57" xfId="0" applyNumberFormat="1" applyFont="1" applyFill="1" applyBorder="1" applyAlignment="1">
      <alignment horizontal="center" vertical="center" shrinkToFit="1"/>
    </xf>
    <xf numFmtId="165" fontId="34" fillId="2" borderId="65" xfId="0" applyNumberFormat="1" applyFont="1" applyFill="1" applyBorder="1" applyAlignment="1">
      <alignment horizontal="center" vertical="center"/>
    </xf>
    <xf numFmtId="0" fontId="34" fillId="2" borderId="0" xfId="2" applyFont="1" applyFill="1" applyAlignment="1">
      <alignment horizontal="left"/>
    </xf>
    <xf numFmtId="4" fontId="89" fillId="2" borderId="14" xfId="2" applyNumberFormat="1" applyFont="1" applyFill="1" applyBorder="1" applyAlignment="1">
      <alignment horizontal="right" vertical="center"/>
    </xf>
    <xf numFmtId="2" fontId="89" fillId="0" borderId="0" xfId="2" applyNumberFormat="1" applyFont="1" applyFill="1"/>
    <xf numFmtId="4" fontId="104" fillId="2" borderId="14" xfId="2" applyNumberFormat="1" applyFont="1" applyFill="1" applyBorder="1" applyAlignment="1">
      <alignment horizontal="centerContinuous" vertical="center" wrapText="1"/>
    </xf>
    <xf numFmtId="0" fontId="34" fillId="0" borderId="84" xfId="7" applyNumberFormat="1" applyFont="1" applyFill="1" applyBorder="1" applyAlignment="1">
      <alignment horizontal="center" vertical="top"/>
    </xf>
    <xf numFmtId="0" fontId="34" fillId="0" borderId="0" xfId="0" applyFont="1" applyFill="1"/>
    <xf numFmtId="0" fontId="34" fillId="0" borderId="85" xfId="7" applyNumberFormat="1" applyFont="1" applyFill="1" applyBorder="1" applyAlignment="1">
      <alignment horizontal="center" vertical="top"/>
    </xf>
    <xf numFmtId="2" fontId="34" fillId="2" borderId="56" xfId="2" applyNumberFormat="1" applyFont="1" applyFill="1" applyBorder="1" applyAlignment="1">
      <alignment vertical="top"/>
    </xf>
    <xf numFmtId="0" fontId="34" fillId="2" borderId="55" xfId="2" applyNumberFormat="1" applyFont="1" applyFill="1" applyBorder="1" applyAlignment="1">
      <alignment horizontal="center" vertical="center" shrinkToFit="1"/>
    </xf>
    <xf numFmtId="1" fontId="34" fillId="2" borderId="55" xfId="2" applyNumberFormat="1" applyFont="1" applyFill="1" applyBorder="1" applyAlignment="1">
      <alignment horizontal="center" vertical="center"/>
    </xf>
    <xf numFmtId="0" fontId="34" fillId="2" borderId="55" xfId="2" applyNumberFormat="1" applyFont="1" applyFill="1" applyBorder="1" applyAlignment="1">
      <alignment horizontal="center" vertical="top"/>
    </xf>
    <xf numFmtId="168" fontId="34" fillId="2" borderId="57" xfId="2" applyNumberFormat="1" applyFont="1" applyFill="1" applyBorder="1" applyAlignment="1">
      <alignment horizontal="center" vertical="top" shrinkToFit="1"/>
    </xf>
    <xf numFmtId="2" fontId="34" fillId="2" borderId="44" xfId="143" applyNumberFormat="1" applyFont="1" applyFill="1" applyBorder="1" applyAlignment="1">
      <alignment horizontal="center" vertical="center" shrinkToFit="1"/>
    </xf>
    <xf numFmtId="0" fontId="34" fillId="2" borderId="0" xfId="2" applyNumberFormat="1" applyFont="1" applyFill="1" applyAlignment="1">
      <alignment vertical="top"/>
    </xf>
    <xf numFmtId="49" fontId="33" fillId="2" borderId="62" xfId="194" applyNumberFormat="1" applyFont="1" applyFill="1" applyBorder="1" applyAlignment="1">
      <alignment horizontal="left" vertical="center" wrapText="1"/>
    </xf>
    <xf numFmtId="0" fontId="34" fillId="2" borderId="63" xfId="194" applyNumberFormat="1" applyFont="1" applyFill="1" applyBorder="1" applyAlignment="1">
      <alignment horizontal="center" vertical="center" shrinkToFit="1"/>
    </xf>
    <xf numFmtId="1" fontId="34" fillId="2" borderId="63" xfId="194" applyNumberFormat="1" applyFont="1" applyFill="1" applyBorder="1" applyAlignment="1">
      <alignment horizontal="center" vertical="center" shrinkToFit="1"/>
    </xf>
    <xf numFmtId="1" fontId="34" fillId="2" borderId="63" xfId="194" applyNumberFormat="1" applyFont="1" applyFill="1" applyBorder="1" applyAlignment="1">
      <alignment horizontal="center" vertical="center"/>
    </xf>
    <xf numFmtId="168" fontId="34" fillId="2" borderId="86" xfId="194" applyNumberFormat="1" applyFont="1" applyFill="1" applyBorder="1" applyAlignment="1">
      <alignment horizontal="center" vertical="center" shrinkToFit="1"/>
    </xf>
    <xf numFmtId="2" fontId="34" fillId="2" borderId="26" xfId="143" applyNumberFormat="1" applyFont="1" applyFill="1" applyBorder="1" applyAlignment="1">
      <alignment horizontal="center" vertical="center" shrinkToFit="1"/>
    </xf>
    <xf numFmtId="1" fontId="34" fillId="2" borderId="55" xfId="0" applyNumberFormat="1" applyFont="1" applyFill="1" applyBorder="1" applyAlignment="1">
      <alignment horizontal="center" vertical="center"/>
    </xf>
    <xf numFmtId="49" fontId="105" fillId="2" borderId="62" xfId="0" applyNumberFormat="1" applyFont="1" applyFill="1" applyBorder="1" applyAlignment="1">
      <alignment horizontal="left" vertical="top" wrapText="1"/>
    </xf>
    <xf numFmtId="1" fontId="34" fillId="2" borderId="63" xfId="0" applyNumberFormat="1" applyFont="1" applyFill="1" applyBorder="1" applyAlignment="1">
      <alignment horizontal="center" vertical="center" shrinkToFit="1"/>
    </xf>
    <xf numFmtId="1" fontId="34" fillId="2" borderId="63" xfId="0" applyNumberFormat="1" applyFont="1" applyFill="1" applyBorder="1" applyAlignment="1">
      <alignment horizontal="center" vertical="center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0" xfId="0" applyNumberFormat="1" applyFont="1" applyFill="1" applyBorder="1" applyAlignment="1">
      <alignment horizontal="center" vertical="center" shrinkToFit="1"/>
    </xf>
    <xf numFmtId="2" fontId="34" fillId="2" borderId="41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46" fillId="2" borderId="26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0" fontId="31" fillId="2" borderId="0" xfId="2" applyFont="1" applyFill="1" applyBorder="1" applyAlignment="1">
      <alignment horizontal="right"/>
    </xf>
    <xf numFmtId="0" fontId="41" fillId="2" borderId="55" xfId="2" applyFont="1" applyFill="1" applyBorder="1" applyAlignment="1">
      <alignment horizontal="center"/>
    </xf>
    <xf numFmtId="0" fontId="53" fillId="2" borderId="55" xfId="2" applyFont="1" applyFill="1" applyBorder="1" applyAlignment="1">
      <alignment horizontal="center" vertical="center" wrapText="1"/>
    </xf>
    <xf numFmtId="0" fontId="42" fillId="2" borderId="66" xfId="77" applyFont="1" applyFill="1" applyBorder="1" applyAlignment="1">
      <alignment horizontal="center" vertical="center"/>
    </xf>
    <xf numFmtId="165" fontId="34" fillId="2" borderId="55" xfId="0" applyNumberFormat="1" applyFont="1" applyFill="1" applyBorder="1" applyAlignment="1">
      <alignment horizontal="center" vertical="center"/>
    </xf>
    <xf numFmtId="2" fontId="39" fillId="2" borderId="54" xfId="166" applyNumberFormat="1" applyFont="1" applyFill="1" applyBorder="1" applyAlignment="1">
      <alignment horizontal="center" vertical="center"/>
    </xf>
    <xf numFmtId="0" fontId="39" fillId="2" borderId="55" xfId="2" applyFont="1" applyFill="1" applyBorder="1" applyAlignment="1">
      <alignment horizontal="center" vertical="center" wrapText="1"/>
    </xf>
    <xf numFmtId="168" fontId="3" fillId="2" borderId="0" xfId="2" applyNumberFormat="1" applyFont="1" applyFill="1"/>
    <xf numFmtId="0" fontId="35" fillId="2" borderId="0" xfId="6" applyNumberFormat="1" applyFont="1" applyFill="1" applyAlignment="1">
      <alignment vertical="top"/>
    </xf>
    <xf numFmtId="0" fontId="108" fillId="2" borderId="0" xfId="0" applyFont="1" applyFill="1"/>
    <xf numFmtId="0" fontId="109" fillId="2" borderId="0" xfId="148" applyFont="1" applyFill="1"/>
    <xf numFmtId="0" fontId="87" fillId="2" borderId="0" xfId="0" applyNumberFormat="1" applyFont="1" applyFill="1" applyAlignment="1">
      <alignment vertical="top"/>
    </xf>
    <xf numFmtId="0" fontId="110" fillId="2" borderId="0" xfId="0" applyNumberFormat="1" applyFont="1" applyFill="1" applyAlignment="1">
      <alignment vertical="top"/>
    </xf>
    <xf numFmtId="0" fontId="35" fillId="2" borderId="0" xfId="7" applyFont="1" applyFill="1"/>
    <xf numFmtId="0" fontId="107" fillId="2" borderId="0" xfId="0" applyNumberFormat="1" applyFont="1" applyFill="1" applyAlignment="1">
      <alignment vertical="top"/>
    </xf>
    <xf numFmtId="0" fontId="46" fillId="2" borderId="0" xfId="76" applyNumberFormat="1" applyFont="1" applyFill="1" applyAlignment="1">
      <alignment vertical="top"/>
    </xf>
    <xf numFmtId="0" fontId="36" fillId="2" borderId="56" xfId="148" applyFont="1" applyFill="1" applyBorder="1" applyAlignment="1">
      <alignment vertical="center"/>
    </xf>
    <xf numFmtId="0" fontId="36" fillId="2" borderId="55" xfId="148" applyFont="1" applyFill="1" applyBorder="1" applyAlignment="1">
      <alignment vertical="center"/>
    </xf>
    <xf numFmtId="0" fontId="36" fillId="2" borderId="55" xfId="148" applyFont="1" applyFill="1" applyBorder="1" applyAlignment="1">
      <alignment horizontal="left" vertical="center"/>
    </xf>
    <xf numFmtId="0" fontId="113" fillId="2" borderId="0" xfId="0" applyFont="1" applyFill="1" applyAlignment="1"/>
    <xf numFmtId="0" fontId="3" fillId="2" borderId="0" xfId="2" applyFont="1" applyFill="1" applyBorder="1" applyAlignment="1">
      <alignment horizontal="center"/>
    </xf>
    <xf numFmtId="2" fontId="35" fillId="2" borderId="55" xfId="0" applyNumberFormat="1" applyFont="1" applyFill="1" applyBorder="1" applyAlignment="1">
      <alignment horizontal="center" vertical="center"/>
    </xf>
    <xf numFmtId="49" fontId="33" fillId="2" borderId="108" xfId="0" applyNumberFormat="1" applyFont="1" applyFill="1" applyBorder="1" applyAlignment="1">
      <alignment horizontal="left" vertical="center" wrapText="1"/>
    </xf>
    <xf numFmtId="165" fontId="34" fillId="2" borderId="1" xfId="0" applyNumberFormat="1" applyFont="1" applyFill="1" applyBorder="1" applyAlignment="1">
      <alignment horizontal="center" vertical="center"/>
    </xf>
    <xf numFmtId="0" fontId="64" fillId="2" borderId="0" xfId="148" applyFont="1" applyFill="1" applyAlignment="1"/>
    <xf numFmtId="0" fontId="41" fillId="2" borderId="55" xfId="148" applyFont="1" applyFill="1" applyBorder="1" applyAlignment="1">
      <alignment horizontal="center" vertical="center"/>
    </xf>
    <xf numFmtId="0" fontId="36" fillId="2" borderId="55" xfId="148" applyFont="1" applyFill="1" applyBorder="1" applyAlignment="1">
      <alignment horizontal="center" vertical="center"/>
    </xf>
    <xf numFmtId="0" fontId="37" fillId="2" borderId="0" xfId="2" applyFont="1" applyFill="1" applyBorder="1" applyAlignment="1">
      <alignment horizontal="left" vertical="center"/>
    </xf>
    <xf numFmtId="0" fontId="33" fillId="2" borderId="0" xfId="2" applyFont="1" applyFill="1" applyBorder="1" applyAlignment="1">
      <alignment horizontal="left" vertical="center"/>
    </xf>
    <xf numFmtId="0" fontId="40" fillId="2" borderId="0" xfId="2" applyFont="1" applyFill="1" applyBorder="1" applyAlignment="1">
      <alignment horizontal="left" vertical="center"/>
    </xf>
    <xf numFmtId="0" fontId="53" fillId="2" borderId="26" xfId="2" applyFont="1" applyFill="1" applyBorder="1" applyAlignment="1">
      <alignment horizontal="left" vertical="center"/>
    </xf>
    <xf numFmtId="2" fontId="52" fillId="2" borderId="55" xfId="2" applyNumberFormat="1" applyFont="1" applyFill="1" applyBorder="1" applyAlignment="1">
      <alignment horizontal="left" vertical="center"/>
    </xf>
    <xf numFmtId="2" fontId="51" fillId="2" borderId="0" xfId="2" applyNumberFormat="1" applyFont="1" applyFill="1" applyBorder="1" applyAlignment="1">
      <alignment horizontal="left" vertical="center"/>
    </xf>
    <xf numFmtId="2" fontId="52" fillId="2" borderId="68" xfId="2" applyNumberFormat="1" applyFont="1" applyFill="1" applyBorder="1" applyAlignment="1">
      <alignment horizontal="left" vertical="center"/>
    </xf>
    <xf numFmtId="2" fontId="60" fillId="2" borderId="0" xfId="2" applyNumberFormat="1" applyFont="1" applyFill="1" applyBorder="1" applyAlignment="1">
      <alignment horizontal="left" vertical="center"/>
    </xf>
    <xf numFmtId="0" fontId="61" fillId="2" borderId="0" xfId="2" applyFont="1" applyFill="1" applyAlignment="1">
      <alignment horizontal="left" vertical="center"/>
    </xf>
    <xf numFmtId="0" fontId="86" fillId="2" borderId="0" xfId="2" applyFont="1" applyFill="1" applyBorder="1" applyAlignment="1">
      <alignment horizontal="left" vertical="center"/>
    </xf>
    <xf numFmtId="0" fontId="113" fillId="2" borderId="0" xfId="0" applyFont="1" applyFill="1" applyAlignment="1">
      <alignment horizontal="left" vertical="center"/>
    </xf>
    <xf numFmtId="0" fontId="49" fillId="2" borderId="68" xfId="2" applyNumberFormat="1" applyFont="1" applyFill="1" applyBorder="1" applyAlignment="1">
      <alignment horizontal="center" vertical="center"/>
    </xf>
    <xf numFmtId="2" fontId="49" fillId="2" borderId="70" xfId="2" applyNumberFormat="1" applyFont="1" applyFill="1" applyBorder="1" applyAlignment="1">
      <alignment horizontal="center" vertical="center" shrinkToFit="1"/>
    </xf>
    <xf numFmtId="2" fontId="34" fillId="2" borderId="0" xfId="2" applyNumberFormat="1" applyFont="1" applyFill="1" applyBorder="1" applyAlignment="1">
      <alignment horizontal="center" vertical="center"/>
    </xf>
    <xf numFmtId="2" fontId="47" fillId="2" borderId="0" xfId="2" applyNumberFormat="1" applyFont="1" applyFill="1" applyBorder="1" applyAlignment="1">
      <alignment horizontal="center" vertical="center"/>
    </xf>
    <xf numFmtId="2" fontId="50" fillId="2" borderId="0" xfId="2" applyNumberFormat="1" applyFont="1" applyFill="1" applyBorder="1" applyAlignment="1">
      <alignment horizontal="center" vertical="center"/>
    </xf>
    <xf numFmtId="0" fontId="41" fillId="2" borderId="57" xfId="148" applyFont="1" applyFill="1" applyBorder="1" applyAlignment="1">
      <alignment horizontal="center" vertical="center"/>
    </xf>
    <xf numFmtId="2" fontId="59" fillId="2" borderId="22" xfId="2" applyNumberFormat="1" applyFont="1" applyFill="1" applyBorder="1" applyAlignment="1">
      <alignment horizontal="center" vertical="center" shrinkToFit="1"/>
    </xf>
    <xf numFmtId="0" fontId="57" fillId="2" borderId="68" xfId="2" applyNumberFormat="1" applyFont="1" applyFill="1" applyBorder="1" applyAlignment="1">
      <alignment horizontal="center" vertical="center" shrinkToFit="1"/>
    </xf>
    <xf numFmtId="2" fontId="57" fillId="2" borderId="68" xfId="2" applyNumberFormat="1" applyFont="1" applyFill="1" applyBorder="1" applyAlignment="1">
      <alignment horizontal="center" vertical="center" shrinkToFit="1"/>
    </xf>
    <xf numFmtId="2" fontId="58" fillId="2" borderId="71" xfId="2" applyNumberFormat="1" applyFont="1" applyFill="1" applyBorder="1" applyAlignment="1">
      <alignment horizontal="center" vertical="center" shrinkToFit="1"/>
    </xf>
    <xf numFmtId="0" fontId="38" fillId="2" borderId="0" xfId="2" applyFont="1" applyFill="1" applyBorder="1" applyAlignment="1">
      <alignment horizontal="center" vertical="center"/>
    </xf>
    <xf numFmtId="0" fontId="42" fillId="2" borderId="0" xfId="2" applyFont="1" applyFill="1" applyBorder="1" applyAlignment="1">
      <alignment horizontal="center" vertical="center"/>
    </xf>
    <xf numFmtId="14" fontId="42" fillId="2" borderId="0" xfId="2" applyNumberFormat="1" applyFont="1" applyFill="1" applyBorder="1" applyAlignment="1">
      <alignment horizontal="center" vertical="center"/>
    </xf>
    <xf numFmtId="0" fontId="85" fillId="2" borderId="0" xfId="5" applyFont="1" applyFill="1" applyBorder="1" applyAlignment="1">
      <alignment horizontal="center" vertical="center"/>
    </xf>
    <xf numFmtId="0" fontId="113" fillId="2" borderId="0" xfId="0" applyFont="1" applyFill="1" applyAlignment="1">
      <alignment horizontal="center" vertical="center"/>
    </xf>
    <xf numFmtId="0" fontId="41" fillId="2" borderId="55" xfId="0" applyFont="1" applyFill="1" applyBorder="1" applyAlignment="1">
      <alignment horizontal="center" vertical="center"/>
    </xf>
    <xf numFmtId="0" fontId="84" fillId="2" borderId="0" xfId="2" applyFont="1" applyFill="1" applyAlignment="1">
      <alignment horizontal="center" vertical="center"/>
    </xf>
    <xf numFmtId="49" fontId="33" fillId="2" borderId="0" xfId="2" applyNumberFormat="1" applyFont="1" applyFill="1" applyBorder="1" applyAlignment="1">
      <alignment horizontal="center" vertical="center"/>
    </xf>
    <xf numFmtId="49" fontId="41" fillId="2" borderId="0" xfId="2" applyNumberFormat="1" applyFont="1" applyFill="1" applyBorder="1" applyAlignment="1">
      <alignment horizontal="center" vertical="center"/>
    </xf>
    <xf numFmtId="49" fontId="38" fillId="2" borderId="0" xfId="2" applyNumberFormat="1" applyFont="1" applyFill="1" applyBorder="1" applyAlignment="1">
      <alignment horizontal="center" vertical="center"/>
    </xf>
    <xf numFmtId="2" fontId="39" fillId="2" borderId="0" xfId="2" applyNumberFormat="1" applyFont="1" applyFill="1" applyBorder="1" applyAlignment="1">
      <alignment horizontal="center" vertical="center"/>
    </xf>
    <xf numFmtId="169" fontId="48" fillId="2" borderId="0" xfId="2" applyNumberFormat="1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0" fontId="112" fillId="2" borderId="67" xfId="148" applyFont="1" applyFill="1" applyBorder="1" applyAlignment="1">
      <alignment horizontal="left" vertical="center"/>
    </xf>
    <xf numFmtId="0" fontId="39" fillId="2" borderId="0" xfId="2" applyFont="1" applyFill="1" applyBorder="1" applyAlignment="1">
      <alignment horizontal="left" vertical="center"/>
    </xf>
    <xf numFmtId="0" fontId="43" fillId="2" borderId="0" xfId="2" applyFont="1" applyFill="1" applyBorder="1" applyAlignment="1">
      <alignment horizontal="left" vertical="center"/>
    </xf>
    <xf numFmtId="0" fontId="45" fillId="2" borderId="0" xfId="2" applyFont="1" applyFill="1" applyBorder="1" applyAlignment="1">
      <alignment horizontal="left" vertical="center"/>
    </xf>
    <xf numFmtId="0" fontId="39" fillId="2" borderId="61" xfId="2" applyFont="1" applyFill="1" applyBorder="1" applyAlignment="1">
      <alignment horizontal="left" vertical="center" wrapText="1"/>
    </xf>
    <xf numFmtId="0" fontId="57" fillId="2" borderId="66" xfId="2" applyNumberFormat="1" applyFont="1" applyFill="1" applyBorder="1" applyAlignment="1">
      <alignment horizontal="left" vertical="center"/>
    </xf>
    <xf numFmtId="0" fontId="46" fillId="2" borderId="48" xfId="2" applyNumberFormat="1" applyFont="1" applyFill="1" applyBorder="1" applyAlignment="1">
      <alignment horizontal="left" vertical="center"/>
    </xf>
    <xf numFmtId="0" fontId="57" fillId="2" borderId="67" xfId="2" applyNumberFormat="1" applyFont="1" applyFill="1" applyBorder="1" applyAlignment="1">
      <alignment horizontal="left" vertical="center"/>
    </xf>
    <xf numFmtId="0" fontId="56" fillId="2" borderId="0" xfId="2" applyNumberFormat="1" applyFont="1" applyFill="1" applyBorder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0" fontId="31" fillId="2" borderId="0" xfId="2" applyFont="1" applyFill="1" applyBorder="1" applyAlignment="1">
      <alignment horizontal="right"/>
    </xf>
    <xf numFmtId="0" fontId="59" fillId="2" borderId="68" xfId="148" applyFont="1" applyFill="1" applyBorder="1" applyAlignment="1">
      <alignment horizontal="center" vertical="center" wrapText="1"/>
    </xf>
    <xf numFmtId="0" fontId="59" fillId="2" borderId="71" xfId="148" applyFont="1" applyFill="1" applyBorder="1" applyAlignment="1">
      <alignment horizontal="center" vertical="center" wrapText="1"/>
    </xf>
    <xf numFmtId="169" fontId="34" fillId="2" borderId="26" xfId="166" applyNumberFormat="1" applyFont="1" applyFill="1" applyBorder="1" applyAlignment="1">
      <alignment horizontal="center" vertical="center"/>
    </xf>
    <xf numFmtId="0" fontId="101" fillId="2" borderId="0" xfId="75" applyFont="1" applyFill="1" applyAlignment="1">
      <alignment vertical="center"/>
    </xf>
    <xf numFmtId="0" fontId="34" fillId="2" borderId="55" xfId="7" applyNumberFormat="1" applyFont="1" applyFill="1" applyBorder="1" applyAlignment="1">
      <alignment horizontal="center" vertical="center" shrinkToFit="1"/>
    </xf>
    <xf numFmtId="0" fontId="109" fillId="2" borderId="0" xfId="148" applyFont="1" applyFill="1" applyAlignment="1">
      <alignment horizontal="left"/>
    </xf>
    <xf numFmtId="2" fontId="33" fillId="2" borderId="56" xfId="0" applyNumberFormat="1" applyFont="1" applyFill="1" applyBorder="1" applyAlignment="1">
      <alignment horizontal="left" vertical="center"/>
    </xf>
    <xf numFmtId="0" fontId="34" fillId="2" borderId="0" xfId="76" applyNumberFormat="1" applyFont="1" applyFill="1" applyAlignment="1">
      <alignment horizontal="center" vertical="top"/>
    </xf>
    <xf numFmtId="0" fontId="34" fillId="2" borderId="0" xfId="76" applyNumberFormat="1" applyFont="1" applyFill="1" applyAlignment="1">
      <alignment vertical="top"/>
    </xf>
    <xf numFmtId="0" fontId="34" fillId="2" borderId="55" xfId="0" applyNumberFormat="1" applyFont="1" applyFill="1" applyBorder="1" applyAlignment="1">
      <alignment horizontal="center" vertical="center" shrinkToFit="1"/>
    </xf>
    <xf numFmtId="2" fontId="111" fillId="2" borderId="55" xfId="64" applyNumberFormat="1" applyFont="1" applyFill="1" applyBorder="1" applyAlignment="1">
      <alignment vertical="center"/>
    </xf>
    <xf numFmtId="0" fontId="87" fillId="2" borderId="55" xfId="64" applyNumberFormat="1" applyFont="1" applyFill="1" applyBorder="1" applyAlignment="1">
      <alignment horizontal="center" vertical="center" shrinkToFit="1"/>
    </xf>
    <xf numFmtId="2" fontId="87" fillId="2" borderId="55" xfId="64" applyNumberFormat="1" applyFont="1" applyFill="1" applyBorder="1" applyAlignment="1">
      <alignment horizontal="center" vertical="center"/>
    </xf>
    <xf numFmtId="2" fontId="87" fillId="2" borderId="55" xfId="64" applyNumberFormat="1" applyFont="1" applyFill="1" applyBorder="1" applyAlignment="1">
      <alignment horizontal="center" vertical="center" shrinkToFit="1"/>
    </xf>
    <xf numFmtId="2" fontId="116" fillId="2" borderId="55" xfId="64" applyNumberFormat="1" applyFont="1" applyFill="1" applyBorder="1" applyAlignment="1">
      <alignment horizontal="center" vertical="center"/>
    </xf>
    <xf numFmtId="2" fontId="87" fillId="2" borderId="57" xfId="64" applyNumberFormat="1" applyFont="1" applyFill="1" applyBorder="1" applyAlignment="1">
      <alignment horizontal="center" vertical="center" shrinkToFit="1"/>
    </xf>
    <xf numFmtId="167" fontId="116" fillId="2" borderId="0" xfId="0" applyNumberFormat="1" applyFont="1" applyFill="1" applyAlignment="1">
      <alignment vertical="top"/>
    </xf>
    <xf numFmtId="167" fontId="87" fillId="2" borderId="0" xfId="0" applyNumberFormat="1" applyFont="1" applyFill="1" applyAlignment="1">
      <alignment vertical="top"/>
    </xf>
    <xf numFmtId="0" fontId="116" fillId="2" borderId="0" xfId="0" applyNumberFormat="1" applyFont="1" applyFill="1" applyAlignment="1">
      <alignment vertical="top"/>
    </xf>
    <xf numFmtId="0" fontId="34" fillId="2" borderId="55" xfId="77" applyNumberFormat="1" applyFont="1" applyFill="1" applyBorder="1" applyAlignment="1">
      <alignment horizontal="center" vertical="center" shrinkToFit="1"/>
    </xf>
    <xf numFmtId="2" fontId="34" fillId="2" borderId="55" xfId="77" applyNumberFormat="1" applyFont="1" applyFill="1" applyBorder="1" applyAlignment="1">
      <alignment horizontal="center" vertical="center"/>
    </xf>
    <xf numFmtId="2" fontId="33" fillId="2" borderId="26" xfId="76" applyNumberFormat="1" applyFont="1" applyFill="1" applyBorder="1" applyAlignment="1">
      <alignment horizontal="center" vertical="center" wrapText="1" shrinkToFit="1"/>
    </xf>
    <xf numFmtId="49" fontId="33" fillId="2" borderId="110" xfId="0" applyNumberFormat="1" applyFont="1" applyFill="1" applyBorder="1" applyAlignment="1">
      <alignment horizontal="left" vertical="center" wrapText="1"/>
    </xf>
    <xf numFmtId="49" fontId="33" fillId="2" borderId="109" xfId="0" applyNumberFormat="1" applyFont="1" applyFill="1" applyBorder="1" applyAlignment="1">
      <alignment horizontal="left" vertical="top" wrapText="1"/>
    </xf>
    <xf numFmtId="0" fontId="34" fillId="2" borderId="11" xfId="0" applyNumberFormat="1" applyFont="1" applyFill="1" applyBorder="1" applyAlignment="1">
      <alignment horizontal="center" vertical="center" shrinkToFit="1"/>
    </xf>
    <xf numFmtId="2" fontId="34" fillId="2" borderId="11" xfId="0" applyNumberFormat="1" applyFont="1" applyFill="1" applyBorder="1" applyAlignment="1">
      <alignment horizontal="center" vertical="center" shrinkToFit="1"/>
    </xf>
    <xf numFmtId="2" fontId="34" fillId="2" borderId="11" xfId="0" applyNumberFormat="1" applyFont="1" applyFill="1" applyBorder="1" applyAlignment="1">
      <alignment horizontal="center" vertical="center"/>
    </xf>
    <xf numFmtId="165" fontId="34" fillId="2" borderId="11" xfId="0" applyNumberFormat="1" applyFont="1" applyFill="1" applyBorder="1" applyAlignment="1">
      <alignment horizontal="center" vertical="center" shrinkToFit="1"/>
    </xf>
    <xf numFmtId="2" fontId="34" fillId="2" borderId="112" xfId="0" applyNumberFormat="1" applyFont="1" applyFill="1" applyBorder="1" applyAlignment="1">
      <alignment horizontal="center" vertical="center" shrinkToFit="1"/>
    </xf>
    <xf numFmtId="170" fontId="34" fillId="2" borderId="88" xfId="0" applyNumberFormat="1" applyFont="1" applyFill="1" applyBorder="1" applyAlignment="1">
      <alignment horizontal="center" vertical="center" shrinkToFit="1"/>
    </xf>
    <xf numFmtId="0" fontId="59" fillId="2" borderId="68" xfId="148" applyFont="1" applyFill="1" applyBorder="1" applyAlignment="1">
      <alignment horizontal="left" vertical="top" wrapText="1"/>
    </xf>
    <xf numFmtId="2" fontId="33" fillId="2" borderId="56" xfId="0" applyNumberFormat="1" applyFont="1" applyFill="1" applyBorder="1" applyAlignment="1">
      <alignment vertical="center"/>
    </xf>
    <xf numFmtId="2" fontId="34" fillId="2" borderId="111" xfId="7" applyNumberFormat="1" applyFont="1" applyFill="1" applyBorder="1" applyAlignment="1">
      <alignment vertical="top"/>
    </xf>
    <xf numFmtId="2" fontId="34" fillId="2" borderId="111" xfId="7" applyNumberFormat="1" applyFont="1" applyFill="1" applyBorder="1" applyAlignment="1">
      <alignment horizontal="center" vertical="top"/>
    </xf>
    <xf numFmtId="0" fontId="41" fillId="2" borderId="96" xfId="148" applyFont="1" applyFill="1" applyBorder="1" applyAlignment="1">
      <alignment vertical="center"/>
    </xf>
    <xf numFmtId="0" fontId="41" fillId="2" borderId="1" xfId="148" applyFont="1" applyFill="1" applyBorder="1" applyAlignment="1">
      <alignment vertical="center"/>
    </xf>
    <xf numFmtId="0" fontId="41" fillId="2" borderId="0" xfId="0" applyFont="1" applyFill="1" applyAlignment="1">
      <alignment horizontal="center"/>
    </xf>
    <xf numFmtId="0" fontId="41" fillId="2" borderId="0" xfId="0" applyFont="1" applyFill="1"/>
    <xf numFmtId="0" fontId="3" fillId="2" borderId="0" xfId="0" applyFont="1" applyFill="1"/>
    <xf numFmtId="0" fontId="34" fillId="2" borderId="111" xfId="7" applyNumberFormat="1" applyFont="1" applyFill="1" applyBorder="1" applyAlignment="1">
      <alignment horizontal="center" vertical="center" shrinkToFit="1"/>
    </xf>
    <xf numFmtId="2" fontId="34" fillId="2" borderId="111" xfId="7" applyNumberFormat="1" applyFont="1" applyFill="1" applyBorder="1" applyAlignment="1">
      <alignment horizontal="center" vertical="center"/>
    </xf>
    <xf numFmtId="0" fontId="34" fillId="2" borderId="0" xfId="0" applyNumberFormat="1" applyFont="1" applyFill="1" applyAlignment="1">
      <alignment horizontal="center" vertical="top"/>
    </xf>
    <xf numFmtId="0" fontId="53" fillId="2" borderId="0" xfId="0" applyFont="1" applyFill="1"/>
    <xf numFmtId="0" fontId="41" fillId="2" borderId="43" xfId="0" applyFont="1" applyFill="1" applyBorder="1" applyAlignment="1">
      <alignment horizontal="center"/>
    </xf>
    <xf numFmtId="2" fontId="33" fillId="2" borderId="55" xfId="159" applyNumberFormat="1" applyFont="1" applyFill="1" applyBorder="1" applyAlignment="1">
      <alignment vertical="top"/>
    </xf>
    <xf numFmtId="0" fontId="34" fillId="2" borderId="55" xfId="159" applyNumberFormat="1" applyFont="1" applyFill="1" applyBorder="1" applyAlignment="1">
      <alignment horizontal="center" vertical="center" shrinkToFit="1"/>
    </xf>
    <xf numFmtId="168" fontId="34" fillId="2" borderId="55" xfId="159" applyNumberFormat="1" applyFont="1" applyFill="1" applyBorder="1" applyAlignment="1">
      <alignment horizontal="center" vertical="center"/>
    </xf>
    <xf numFmtId="2" fontId="34" fillId="2" borderId="55" xfId="159" applyNumberFormat="1" applyFont="1" applyFill="1" applyBorder="1" applyAlignment="1">
      <alignment horizontal="center" vertical="center"/>
    </xf>
    <xf numFmtId="2" fontId="34" fillId="2" borderId="57" xfId="159" applyNumberFormat="1" applyFont="1" applyFill="1" applyBorder="1" applyAlignment="1">
      <alignment horizontal="center" vertical="center" shrinkToFit="1"/>
    </xf>
    <xf numFmtId="167" fontId="34" fillId="2" borderId="0" xfId="159" applyNumberFormat="1" applyFont="1" applyFill="1" applyAlignment="1">
      <alignment horizontal="center" vertical="top"/>
    </xf>
    <xf numFmtId="167" fontId="34" fillId="2" borderId="0" xfId="159" applyNumberFormat="1" applyFont="1" applyFill="1" applyAlignment="1">
      <alignment vertical="top"/>
    </xf>
    <xf numFmtId="0" fontId="34" fillId="2" borderId="0" xfId="159" applyNumberFormat="1" applyFont="1" applyFill="1" applyAlignment="1">
      <alignment vertical="top"/>
    </xf>
    <xf numFmtId="0" fontId="46" fillId="2" borderId="0" xfId="159" applyNumberFormat="1" applyFont="1" applyFill="1" applyAlignment="1">
      <alignment vertical="top"/>
    </xf>
    <xf numFmtId="49" fontId="33" fillId="2" borderId="62" xfId="159" applyNumberFormat="1" applyFont="1" applyFill="1" applyBorder="1" applyAlignment="1">
      <alignment horizontal="left" vertical="center" wrapText="1"/>
    </xf>
    <xf numFmtId="0" fontId="34" fillId="2" borderId="63" xfId="159" applyNumberFormat="1" applyFont="1" applyFill="1" applyBorder="1" applyAlignment="1">
      <alignment horizontal="center" vertical="center" shrinkToFit="1"/>
    </xf>
    <xf numFmtId="2" fontId="34" fillId="2" borderId="63" xfId="159" applyNumberFormat="1" applyFont="1" applyFill="1" applyBorder="1" applyAlignment="1">
      <alignment horizontal="center" vertical="center" shrinkToFit="1"/>
    </xf>
    <xf numFmtId="2" fontId="34" fillId="2" borderId="63" xfId="159" applyNumberFormat="1" applyFont="1" applyFill="1" applyBorder="1" applyAlignment="1">
      <alignment horizontal="center" vertical="center"/>
    </xf>
    <xf numFmtId="165" fontId="34" fillId="2" borderId="63" xfId="159" applyNumberFormat="1" applyFont="1" applyFill="1" applyBorder="1" applyAlignment="1">
      <alignment horizontal="center" vertical="center" shrinkToFit="1"/>
    </xf>
    <xf numFmtId="2" fontId="34" fillId="2" borderId="86" xfId="159" applyNumberFormat="1" applyFont="1" applyFill="1" applyBorder="1" applyAlignment="1">
      <alignment horizontal="center" vertical="center" shrinkToFit="1"/>
    </xf>
    <xf numFmtId="165" fontId="33" fillId="2" borderId="26" xfId="74" applyNumberFormat="1" applyFont="1" applyFill="1" applyBorder="1" applyAlignment="1">
      <alignment horizontal="left" vertical="center" wrapText="1"/>
    </xf>
    <xf numFmtId="165" fontId="33" fillId="2" borderId="26" xfId="74" applyNumberFormat="1" applyFont="1" applyFill="1" applyBorder="1" applyAlignment="1">
      <alignment horizontal="center" vertical="center" wrapText="1"/>
    </xf>
    <xf numFmtId="165" fontId="33" fillId="2" borderId="26" xfId="75" applyNumberFormat="1" applyFont="1" applyFill="1" applyBorder="1" applyAlignment="1">
      <alignment horizontal="center" vertical="center" wrapText="1"/>
    </xf>
    <xf numFmtId="165" fontId="117" fillId="2" borderId="26" xfId="281" applyNumberFormat="1" applyFont="1" applyFill="1" applyBorder="1" applyAlignment="1">
      <alignment horizontal="center" vertical="center" wrapText="1"/>
    </xf>
    <xf numFmtId="0" fontId="34" fillId="2" borderId="0" xfId="75" applyNumberFormat="1" applyFont="1" applyFill="1" applyAlignment="1">
      <alignment horizontal="center" vertical="top"/>
    </xf>
    <xf numFmtId="0" fontId="34" fillId="2" borderId="0" xfId="75" applyNumberFormat="1" applyFont="1" applyFill="1" applyAlignment="1">
      <alignment vertical="top"/>
    </xf>
    <xf numFmtId="0" fontId="46" fillId="2" borderId="0" xfId="75" applyNumberFormat="1" applyFont="1" applyFill="1" applyAlignment="1">
      <alignment vertical="top"/>
    </xf>
    <xf numFmtId="165" fontId="33" fillId="2" borderId="26" xfId="64" applyNumberFormat="1" applyFont="1" applyFill="1" applyBorder="1" applyAlignment="1">
      <alignment horizontal="center" vertical="center"/>
    </xf>
    <xf numFmtId="2" fontId="34" fillId="2" borderId="86" xfId="75" applyNumberFormat="1" applyFont="1" applyFill="1" applyBorder="1" applyAlignment="1">
      <alignment horizontal="center" vertical="center" shrinkToFit="1"/>
    </xf>
    <xf numFmtId="165" fontId="33" fillId="2" borderId="26" xfId="281" applyNumberFormat="1" applyFont="1" applyFill="1" applyBorder="1" applyAlignment="1">
      <alignment horizontal="left" vertical="center" wrapText="1"/>
    </xf>
    <xf numFmtId="165" fontId="34" fillId="2" borderId="26" xfId="75" applyNumberFormat="1" applyFont="1" applyFill="1" applyBorder="1" applyAlignment="1">
      <alignment horizontal="center" vertical="center" wrapText="1"/>
    </xf>
    <xf numFmtId="2" fontId="33" fillId="2" borderId="26" xfId="64" applyNumberFormat="1" applyFont="1" applyFill="1" applyBorder="1" applyAlignment="1">
      <alignment horizontal="center" vertical="center"/>
    </xf>
    <xf numFmtId="2" fontId="117" fillId="2" borderId="26" xfId="281" applyNumberFormat="1" applyFont="1" applyFill="1" applyBorder="1" applyAlignment="1">
      <alignment horizontal="center" vertical="center" wrapText="1"/>
    </xf>
    <xf numFmtId="165" fontId="33" fillId="2" borderId="26" xfId="0" applyNumberFormat="1" applyFont="1" applyFill="1" applyBorder="1" applyAlignment="1">
      <alignment horizontal="center" vertical="center" wrapText="1"/>
    </xf>
    <xf numFmtId="2" fontId="34" fillId="2" borderId="26" xfId="75" applyNumberFormat="1" applyFont="1" applyFill="1" applyBorder="1" applyAlignment="1">
      <alignment horizontal="center" vertical="center" shrinkToFit="1"/>
    </xf>
    <xf numFmtId="167" fontId="34" fillId="2" borderId="0" xfId="0" applyNumberFormat="1" applyFont="1" applyFill="1" applyAlignment="1">
      <alignment horizontal="center" vertical="top"/>
    </xf>
    <xf numFmtId="165" fontId="33" fillId="2" borderId="26" xfId="281" applyNumberFormat="1" applyFont="1" applyFill="1" applyBorder="1" applyAlignment="1">
      <alignment horizontal="center" vertical="center" wrapText="1"/>
    </xf>
    <xf numFmtId="2" fontId="34" fillId="2" borderId="55" xfId="193" applyNumberFormat="1" applyFont="1" applyFill="1" applyBorder="1" applyAlignment="1">
      <alignment horizontal="center" vertical="center"/>
    </xf>
    <xf numFmtId="2" fontId="34" fillId="2" borderId="57" xfId="193" applyNumberFormat="1" applyFont="1" applyFill="1" applyBorder="1" applyAlignment="1">
      <alignment horizontal="center" vertical="center" shrinkToFit="1"/>
    </xf>
    <xf numFmtId="2" fontId="34" fillId="2" borderId="26" xfId="193" applyNumberFormat="1" applyFont="1" applyFill="1" applyBorder="1" applyAlignment="1">
      <alignment horizontal="center" vertical="center" shrinkToFit="1"/>
    </xf>
    <xf numFmtId="0" fontId="34" fillId="2" borderId="0" xfId="193" applyNumberFormat="1" applyFont="1" applyFill="1" applyAlignment="1">
      <alignment horizontal="center" vertical="top"/>
    </xf>
    <xf numFmtId="0" fontId="35" fillId="2" borderId="0" xfId="0" applyFont="1" applyFill="1" applyAlignment="1">
      <alignment horizontal="center"/>
    </xf>
    <xf numFmtId="0" fontId="91" fillId="2" borderId="0" xfId="0" applyFont="1" applyFill="1"/>
    <xf numFmtId="0" fontId="87" fillId="2" borderId="0" xfId="193" applyNumberFormat="1" applyFont="1" applyFill="1" applyAlignment="1">
      <alignment vertical="top"/>
    </xf>
    <xf numFmtId="2" fontId="34" fillId="2" borderId="64" xfId="193" applyNumberFormat="1" applyFont="1" applyFill="1" applyBorder="1" applyAlignment="1">
      <alignment horizontal="center" vertical="center" shrinkToFit="1"/>
    </xf>
    <xf numFmtId="2" fontId="34" fillId="2" borderId="64" xfId="193" applyNumberFormat="1" applyFont="1" applyFill="1" applyBorder="1" applyAlignment="1">
      <alignment horizontal="center" vertical="center"/>
    </xf>
    <xf numFmtId="2" fontId="34" fillId="2" borderId="81" xfId="193" applyNumberFormat="1" applyFont="1" applyFill="1" applyBorder="1" applyAlignment="1">
      <alignment horizontal="center" vertical="center" shrinkToFit="1"/>
    </xf>
    <xf numFmtId="165" fontId="34" fillId="2" borderId="88" xfId="193" applyNumberFormat="1" applyFont="1" applyFill="1" applyBorder="1" applyAlignment="1">
      <alignment horizontal="center" vertical="center" shrinkToFit="1"/>
    </xf>
    <xf numFmtId="2" fontId="34" fillId="2" borderId="88" xfId="193" applyNumberFormat="1" applyFont="1" applyFill="1" applyBorder="1" applyAlignment="1">
      <alignment horizontal="center" vertical="center"/>
    </xf>
    <xf numFmtId="2" fontId="34" fillId="2" borderId="98" xfId="193" applyNumberFormat="1" applyFont="1" applyFill="1" applyBorder="1" applyAlignment="1">
      <alignment horizontal="center" vertical="center" shrinkToFit="1"/>
    </xf>
    <xf numFmtId="0" fontId="107" fillId="2" borderId="0" xfId="193" applyNumberFormat="1" applyFont="1" applyFill="1" applyAlignment="1">
      <alignment horizontal="center" vertical="top"/>
    </xf>
    <xf numFmtId="165" fontId="33" fillId="2" borderId="26" xfId="74" applyNumberFormat="1" applyFont="1" applyFill="1" applyBorder="1" applyAlignment="1">
      <alignment horizontal="left" vertical="center"/>
    </xf>
    <xf numFmtId="0" fontId="117" fillId="2" borderId="0" xfId="0" applyNumberFormat="1" applyFont="1" applyFill="1" applyAlignment="1">
      <alignment horizontal="center" vertical="top"/>
    </xf>
    <xf numFmtId="0" fontId="111" fillId="2" borderId="0" xfId="0" applyNumberFormat="1" applyFont="1" applyFill="1" applyAlignment="1">
      <alignment vertical="top"/>
    </xf>
    <xf numFmtId="0" fontId="107" fillId="2" borderId="0" xfId="0" applyNumberFormat="1" applyFont="1" applyFill="1" applyAlignment="1">
      <alignment horizontal="center" vertical="top"/>
    </xf>
    <xf numFmtId="0" fontId="87" fillId="27" borderId="0" xfId="0" applyNumberFormat="1" applyFont="1" applyFill="1" applyAlignment="1">
      <alignment vertical="top"/>
    </xf>
    <xf numFmtId="2" fontId="33" fillId="2" borderId="56" xfId="6" applyNumberFormat="1" applyFont="1" applyFill="1" applyBorder="1" applyAlignment="1">
      <alignment horizontal="left" vertical="center"/>
    </xf>
    <xf numFmtId="0" fontId="34" fillId="2" borderId="55" xfId="6" applyNumberFormat="1" applyFont="1" applyFill="1" applyBorder="1" applyAlignment="1">
      <alignment horizontal="center" vertical="center" shrinkToFit="1"/>
    </xf>
    <xf numFmtId="2" fontId="34" fillId="2" borderId="55" xfId="6" applyNumberFormat="1" applyFont="1" applyFill="1" applyBorder="1" applyAlignment="1">
      <alignment horizontal="center" vertical="center"/>
    </xf>
    <xf numFmtId="0" fontId="35" fillId="2" borderId="0" xfId="6" applyFont="1" applyFill="1"/>
    <xf numFmtId="0" fontId="34" fillId="2" borderId="1" xfId="0" applyNumberFormat="1" applyFont="1" applyFill="1" applyBorder="1" applyAlignment="1">
      <alignment horizontal="center" vertical="center" shrinkToFit="1"/>
    </xf>
    <xf numFmtId="0" fontId="119" fillId="2" borderId="0" xfId="0" applyNumberFormat="1" applyFont="1" applyFill="1" applyAlignment="1">
      <alignment vertical="top"/>
    </xf>
    <xf numFmtId="0" fontId="119" fillId="29" borderId="0" xfId="0" applyNumberFormat="1" applyFont="1" applyFill="1" applyAlignment="1">
      <alignment vertical="top"/>
    </xf>
    <xf numFmtId="2" fontId="33" fillId="2" borderId="56" xfId="77" applyNumberFormat="1" applyFont="1" applyFill="1" applyBorder="1" applyAlignment="1">
      <alignment vertical="center"/>
    </xf>
    <xf numFmtId="168" fontId="34" fillId="2" borderId="55" xfId="77" applyNumberFormat="1" applyFont="1" applyFill="1" applyBorder="1" applyAlignment="1">
      <alignment horizontal="center" vertical="center"/>
    </xf>
    <xf numFmtId="167" fontId="34" fillId="2" borderId="0" xfId="185" applyNumberFormat="1" applyFont="1" applyFill="1" applyAlignment="1">
      <alignment horizontal="center" vertical="top"/>
    </xf>
    <xf numFmtId="167" fontId="34" fillId="2" borderId="0" xfId="185" applyNumberFormat="1" applyFont="1" applyFill="1" applyAlignment="1">
      <alignment vertical="top"/>
    </xf>
    <xf numFmtId="0" fontId="34" fillId="2" borderId="0" xfId="185" applyNumberFormat="1" applyFont="1" applyFill="1" applyAlignment="1">
      <alignment vertical="top"/>
    </xf>
    <xf numFmtId="49" fontId="33" fillId="2" borderId="87" xfId="77" applyNumberFormat="1" applyFont="1" applyFill="1" applyBorder="1" applyAlignment="1">
      <alignment vertical="center" wrapText="1"/>
    </xf>
    <xf numFmtId="0" fontId="34" fillId="2" borderId="64" xfId="185" applyNumberFormat="1" applyFont="1" applyFill="1" applyBorder="1" applyAlignment="1">
      <alignment horizontal="center" vertical="center" shrinkToFit="1"/>
    </xf>
    <xf numFmtId="169" fontId="34" fillId="2" borderId="64" xfId="185" applyNumberFormat="1" applyFont="1" applyFill="1" applyBorder="1" applyAlignment="1">
      <alignment horizontal="center" vertical="center" shrinkToFit="1"/>
    </xf>
    <xf numFmtId="2" fontId="34" fillId="2" borderId="64" xfId="185" applyNumberFormat="1" applyFont="1" applyFill="1" applyBorder="1" applyAlignment="1">
      <alignment horizontal="center" vertical="center"/>
    </xf>
    <xf numFmtId="165" fontId="34" fillId="2" borderId="64" xfId="185" applyNumberFormat="1" applyFont="1" applyFill="1" applyBorder="1" applyAlignment="1">
      <alignment horizontal="center" vertical="center" shrinkToFit="1"/>
    </xf>
    <xf numFmtId="2" fontId="34" fillId="2" borderId="81" xfId="185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/>
    </xf>
    <xf numFmtId="49" fontId="33" fillId="2" borderId="95" xfId="0" applyNumberFormat="1" applyFont="1" applyFill="1" applyBorder="1" applyAlignment="1">
      <alignment horizontal="left" vertical="center" wrapText="1"/>
    </xf>
    <xf numFmtId="0" fontId="34" fillId="0" borderId="0" xfId="0" applyNumberFormat="1" applyFont="1" applyAlignment="1">
      <alignment vertical="top"/>
    </xf>
    <xf numFmtId="0" fontId="46" fillId="0" borderId="0" xfId="75" applyNumberFormat="1" applyFont="1" applyFill="1" applyAlignment="1">
      <alignment vertical="top"/>
    </xf>
    <xf numFmtId="0" fontId="91" fillId="30" borderId="0" xfId="0" applyFont="1" applyFill="1" applyAlignment="1">
      <alignment horizontal="left"/>
    </xf>
    <xf numFmtId="0" fontId="87" fillId="30" borderId="0" xfId="193" applyNumberFormat="1" applyFont="1" applyFill="1" applyAlignment="1">
      <alignment horizontal="left" vertical="top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4" fillId="2" borderId="50" xfId="0" applyNumberFormat="1" applyFont="1" applyFill="1" applyBorder="1" applyAlignment="1">
      <alignment horizontal="center" vertical="center" shrinkToFit="1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2" fontId="34" fillId="2" borderId="52" xfId="0" applyNumberFormat="1" applyFont="1" applyFill="1" applyBorder="1" applyAlignment="1">
      <alignment horizontal="center" vertical="center" shrinkToFit="1"/>
    </xf>
    <xf numFmtId="2" fontId="34" fillId="2" borderId="1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41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2" fontId="111" fillId="2" borderId="26" xfId="0" applyNumberFormat="1" applyFont="1" applyFill="1" applyBorder="1" applyAlignment="1">
      <alignment horizontal="center" vertical="center" shrinkToFit="1"/>
    </xf>
    <xf numFmtId="2" fontId="34" fillId="2" borderId="57" xfId="77" applyNumberFormat="1" applyFont="1" applyFill="1" applyBorder="1" applyAlignment="1">
      <alignment horizontal="center" vertical="center" shrinkToFit="1"/>
    </xf>
    <xf numFmtId="2" fontId="34" fillId="2" borderId="57" xfId="6" applyNumberFormat="1" applyFont="1" applyFill="1" applyBorder="1" applyAlignment="1">
      <alignment horizontal="center" vertical="center" shrinkToFit="1"/>
    </xf>
    <xf numFmtId="2" fontId="33" fillId="2" borderId="26" xfId="0" applyNumberFormat="1" applyFont="1" applyFill="1" applyBorder="1" applyAlignment="1">
      <alignment horizontal="center" vertical="center" shrinkToFit="1"/>
    </xf>
    <xf numFmtId="2" fontId="33" fillId="2" borderId="26" xfId="75" applyNumberFormat="1" applyFont="1" applyFill="1" applyBorder="1" applyAlignment="1">
      <alignment horizontal="center" vertical="center" wrapText="1" shrinkToFit="1"/>
    </xf>
    <xf numFmtId="2" fontId="118" fillId="2" borderId="26" xfId="75" applyNumberFormat="1" applyFont="1" applyFill="1" applyBorder="1" applyAlignment="1">
      <alignment horizontal="center" vertical="center" wrapText="1" shrinkToFit="1"/>
    </xf>
    <xf numFmtId="2" fontId="34" fillId="2" borderId="26" xfId="75" applyNumberFormat="1" applyFont="1" applyFill="1" applyBorder="1" applyAlignment="1">
      <alignment horizontal="center" vertical="center" wrapText="1" shrinkToFit="1"/>
    </xf>
    <xf numFmtId="2" fontId="34" fillId="2" borderId="52" xfId="0" applyNumberFormat="1" applyFont="1" applyFill="1" applyBorder="1" applyAlignment="1">
      <alignment horizontal="center" vertical="center" wrapText="1" shrinkToFit="1"/>
    </xf>
    <xf numFmtId="2" fontId="34" fillId="2" borderId="57" xfId="0" applyNumberFormat="1" applyFont="1" applyFill="1" applyBorder="1" applyAlignment="1">
      <alignment horizontal="center" vertical="center" wrapText="1" shrinkToFit="1"/>
    </xf>
    <xf numFmtId="165" fontId="34" fillId="2" borderId="26" xfId="0" applyNumberFormat="1" applyFont="1" applyFill="1" applyBorder="1" applyAlignment="1">
      <alignment horizontal="center" vertical="center"/>
    </xf>
    <xf numFmtId="0" fontId="41" fillId="2" borderId="1" xfId="148" applyFont="1" applyFill="1" applyBorder="1" applyAlignment="1">
      <alignment horizontal="center" vertical="center"/>
    </xf>
    <xf numFmtId="2" fontId="34" fillId="2" borderId="26" xfId="6" applyNumberFormat="1" applyFont="1" applyFill="1" applyBorder="1" applyAlignment="1">
      <alignment horizontal="center" vertical="center" shrinkToFit="1"/>
    </xf>
    <xf numFmtId="2" fontId="34" fillId="2" borderId="26" xfId="77" applyNumberFormat="1" applyFont="1" applyFill="1" applyBorder="1" applyAlignment="1">
      <alignment horizontal="center" vertical="center" shrinkToFit="1"/>
    </xf>
    <xf numFmtId="0" fontId="45" fillId="2" borderId="0" xfId="2" applyFont="1" applyFill="1" applyBorder="1" applyAlignment="1">
      <alignment horizontal="center"/>
    </xf>
    <xf numFmtId="2" fontId="34" fillId="2" borderId="57" xfId="0" applyNumberFormat="1" applyFont="1" applyFill="1" applyBorder="1" applyAlignment="1">
      <alignment horizontal="center" vertical="top" shrinkToFit="1"/>
    </xf>
    <xf numFmtId="0" fontId="41" fillId="2" borderId="113" xfId="148" applyFont="1" applyFill="1" applyBorder="1" applyAlignment="1">
      <alignment vertical="center"/>
    </xf>
    <xf numFmtId="0" fontId="41" fillId="2" borderId="35" xfId="148" applyFont="1" applyFill="1" applyBorder="1" applyAlignment="1">
      <alignment vertical="center"/>
    </xf>
    <xf numFmtId="0" fontId="41" fillId="2" borderId="85" xfId="148" applyFont="1" applyFill="1" applyBorder="1" applyAlignment="1">
      <alignment vertical="center"/>
    </xf>
    <xf numFmtId="2" fontId="33" fillId="2" borderId="55" xfId="0" applyNumberFormat="1" applyFont="1" applyFill="1" applyBorder="1" applyAlignment="1">
      <alignment vertical="center"/>
    </xf>
    <xf numFmtId="49" fontId="33" fillId="2" borderId="114" xfId="0" applyNumberFormat="1" applyFont="1" applyFill="1" applyBorder="1" applyAlignment="1">
      <alignment horizontal="left" vertical="center" wrapText="1"/>
    </xf>
    <xf numFmtId="2" fontId="33" fillId="2" borderId="26" xfId="0" applyNumberFormat="1" applyFont="1" applyFill="1" applyBorder="1" applyAlignment="1">
      <alignment horizontal="center" vertical="center" shrinkToFit="1"/>
    </xf>
    <xf numFmtId="2" fontId="34" fillId="2" borderId="26" xfId="77" applyNumberFormat="1" applyFont="1" applyFill="1" applyBorder="1" applyAlignment="1">
      <alignment horizontal="center" vertical="center" shrinkToFit="1"/>
    </xf>
    <xf numFmtId="2" fontId="34" fillId="2" borderId="57" xfId="77" applyNumberFormat="1" applyFont="1" applyFill="1" applyBorder="1" applyAlignment="1">
      <alignment horizontal="center" vertical="center" shrinkToFit="1"/>
    </xf>
    <xf numFmtId="2" fontId="34" fillId="2" borderId="50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118" fillId="2" borderId="26" xfId="75" applyNumberFormat="1" applyFont="1" applyFill="1" applyBorder="1" applyAlignment="1">
      <alignment horizontal="center" vertical="center" wrapText="1" shrinkToFit="1"/>
    </xf>
    <xf numFmtId="2" fontId="34" fillId="2" borderId="26" xfId="75" applyNumberFormat="1" applyFont="1" applyFill="1" applyBorder="1" applyAlignment="1">
      <alignment horizontal="center" vertical="center" wrapText="1" shrinkToFit="1"/>
    </xf>
    <xf numFmtId="2" fontId="34" fillId="2" borderId="41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2" fontId="34" fillId="2" borderId="1" xfId="0" applyNumberFormat="1" applyFont="1" applyFill="1" applyBorder="1" applyAlignment="1">
      <alignment horizontal="center" vertical="center" shrinkToFit="1"/>
    </xf>
    <xf numFmtId="2" fontId="34" fillId="2" borderId="52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wrapText="1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33" fillId="2" borderId="26" xfId="75" applyNumberFormat="1" applyFont="1" applyFill="1" applyBorder="1" applyAlignment="1">
      <alignment horizontal="center" vertical="center" wrapText="1" shrinkToFit="1"/>
    </xf>
    <xf numFmtId="2" fontId="34" fillId="2" borderId="26" xfId="6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/>
    </xf>
    <xf numFmtId="2" fontId="111" fillId="2" borderId="26" xfId="0" applyNumberFormat="1" applyFont="1" applyFill="1" applyBorder="1" applyAlignment="1">
      <alignment horizontal="center" vertical="center" shrinkToFit="1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2" fontId="34" fillId="2" borderId="57" xfId="0" applyNumberFormat="1" applyFont="1" applyFill="1" applyBorder="1" applyAlignment="1">
      <alignment horizontal="center" vertical="top" shrinkToFit="1"/>
    </xf>
    <xf numFmtId="169" fontId="34" fillId="2" borderId="88" xfId="0" applyNumberFormat="1" applyFont="1" applyFill="1" applyBorder="1" applyAlignment="1">
      <alignment horizontal="center" vertical="center" shrinkToFit="1"/>
    </xf>
    <xf numFmtId="165" fontId="33" fillId="2" borderId="55" xfId="281" applyNumberFormat="1" applyFont="1" applyFill="1" applyBorder="1" applyAlignment="1">
      <alignment horizontal="center" vertical="center" wrapText="1"/>
    </xf>
    <xf numFmtId="0" fontId="111" fillId="26" borderId="0" xfId="0" applyNumberFormat="1" applyFont="1" applyFill="1" applyAlignment="1">
      <alignment vertical="top"/>
    </xf>
    <xf numFmtId="0" fontId="117" fillId="2" borderId="0" xfId="0" applyNumberFormat="1" applyFont="1" applyFill="1" applyAlignment="1">
      <alignment vertical="top"/>
    </xf>
    <xf numFmtId="49" fontId="34" fillId="2" borderId="95" xfId="0" applyNumberFormat="1" applyFont="1" applyFill="1" applyBorder="1" applyAlignment="1">
      <alignment horizontal="left" vertical="center" wrapText="1"/>
    </xf>
    <xf numFmtId="49" fontId="34" fillId="2" borderId="97" xfId="0" applyNumberFormat="1" applyFont="1" applyFill="1" applyBorder="1" applyAlignment="1">
      <alignment horizontal="left" vertical="center" wrapText="1"/>
    </xf>
    <xf numFmtId="0" fontId="34" fillId="2" borderId="64" xfId="0" applyNumberFormat="1" applyFont="1" applyFill="1" applyBorder="1" applyAlignment="1">
      <alignment horizontal="left" vertical="center" shrinkToFit="1"/>
    </xf>
    <xf numFmtId="0" fontId="34" fillId="2" borderId="65" xfId="0" applyNumberFormat="1" applyFont="1" applyFill="1" applyBorder="1" applyAlignment="1">
      <alignment horizontal="left" vertical="center" shrinkToFit="1"/>
    </xf>
    <xf numFmtId="0" fontId="111" fillId="0" borderId="0" xfId="283" applyNumberFormat="1" applyFont="1" applyFill="1" applyAlignment="1">
      <alignment vertical="top"/>
    </xf>
    <xf numFmtId="168" fontId="34" fillId="2" borderId="88" xfId="0" applyNumberFormat="1" applyFont="1" applyFill="1" applyBorder="1" applyAlignment="1">
      <alignment horizontal="center" vertical="center" shrinkToFit="1"/>
    </xf>
    <xf numFmtId="0" fontId="34" fillId="2" borderId="14" xfId="284" applyNumberFormat="1" applyFont="1" applyFill="1" applyBorder="1" applyAlignment="1">
      <alignment horizontal="center" vertical="center" shrinkToFit="1"/>
    </xf>
    <xf numFmtId="165" fontId="34" fillId="2" borderId="14" xfId="284" applyNumberFormat="1" applyFont="1" applyFill="1" applyBorder="1" applyAlignment="1">
      <alignment horizontal="center" vertical="center" shrinkToFit="1"/>
    </xf>
    <xf numFmtId="165" fontId="34" fillId="2" borderId="14" xfId="284" applyNumberFormat="1" applyFont="1" applyFill="1" applyBorder="1" applyAlignment="1">
      <alignment horizontal="center" vertical="center"/>
    </xf>
    <xf numFmtId="49" fontId="33" fillId="2" borderId="93" xfId="284" applyNumberFormat="1" applyFont="1" applyFill="1" applyBorder="1" applyAlignment="1">
      <alignment horizontal="left" vertical="center" wrapText="1"/>
    </xf>
    <xf numFmtId="0" fontId="34" fillId="2" borderId="65" xfId="284" applyNumberFormat="1" applyFont="1" applyFill="1" applyBorder="1" applyAlignment="1">
      <alignment horizontal="center" vertical="center" shrinkToFit="1"/>
    </xf>
    <xf numFmtId="169" fontId="34" fillId="2" borderId="88" xfId="284" applyNumberFormat="1" applyFont="1" applyFill="1" applyBorder="1" applyAlignment="1">
      <alignment horizontal="center" vertical="center" shrinkToFit="1"/>
    </xf>
    <xf numFmtId="169" fontId="34" fillId="2" borderId="88" xfId="284" applyNumberFormat="1" applyFont="1" applyFill="1" applyBorder="1" applyAlignment="1">
      <alignment horizontal="center" vertical="center"/>
    </xf>
    <xf numFmtId="165" fontId="34" fillId="2" borderId="88" xfId="284" applyNumberFormat="1" applyFont="1" applyFill="1" applyBorder="1" applyAlignment="1">
      <alignment horizontal="center" vertical="center"/>
    </xf>
    <xf numFmtId="165" fontId="34" fillId="2" borderId="81" xfId="193" applyNumberFormat="1" applyFont="1" applyFill="1" applyBorder="1" applyAlignment="1">
      <alignment horizontal="center" vertical="center" shrinkToFit="1"/>
    </xf>
    <xf numFmtId="169" fontId="34" fillId="2" borderId="94" xfId="0" applyNumberFormat="1" applyFont="1" applyFill="1" applyBorder="1" applyAlignment="1">
      <alignment horizontal="center" vertical="center" shrinkToFit="1"/>
    </xf>
    <xf numFmtId="0" fontId="34" fillId="2" borderId="0" xfId="2" applyFont="1" applyFill="1" applyBorder="1" applyAlignment="1">
      <alignment horizontal="center"/>
    </xf>
    <xf numFmtId="0" fontId="39" fillId="2" borderId="0" xfId="2" applyFont="1" applyFill="1" applyBorder="1" applyAlignment="1">
      <alignment horizontal="center"/>
    </xf>
    <xf numFmtId="0" fontId="43" fillId="2" borderId="0" xfId="2" applyFont="1" applyFill="1" applyBorder="1" applyAlignment="1">
      <alignment horizontal="center"/>
    </xf>
    <xf numFmtId="0" fontId="46" fillId="2" borderId="0" xfId="2" applyFont="1" applyFill="1" applyBorder="1" applyAlignment="1">
      <alignment horizontal="center"/>
    </xf>
    <xf numFmtId="0" fontId="59" fillId="2" borderId="68" xfId="148" applyFont="1" applyFill="1" applyBorder="1" applyAlignment="1">
      <alignment horizontal="center" vertical="top" wrapText="1"/>
    </xf>
    <xf numFmtId="0" fontId="57" fillId="2" borderId="55" xfId="2" applyNumberFormat="1" applyFont="1" applyFill="1" applyBorder="1" applyAlignment="1">
      <alignment horizontal="center" vertical="top"/>
    </xf>
    <xf numFmtId="0" fontId="46" fillId="2" borderId="0" xfId="2" applyNumberFormat="1" applyFont="1" applyFill="1" applyBorder="1" applyAlignment="1">
      <alignment horizontal="center" vertical="top"/>
    </xf>
    <xf numFmtId="0" fontId="57" fillId="2" borderId="68" xfId="2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36" fillId="2" borderId="96" xfId="148" applyFont="1" applyFill="1" applyBorder="1" applyAlignment="1">
      <alignment vertical="center"/>
    </xf>
    <xf numFmtId="49" fontId="33" fillId="2" borderId="55" xfId="0" applyNumberFormat="1" applyFont="1" applyFill="1" applyBorder="1" applyAlignment="1">
      <alignment horizontal="left" vertical="center" wrapText="1"/>
    </xf>
    <xf numFmtId="2" fontId="111" fillId="2" borderId="55" xfId="193" applyNumberFormat="1" applyFont="1" applyFill="1" applyBorder="1" applyAlignment="1">
      <alignment horizontal="left" vertical="center"/>
    </xf>
    <xf numFmtId="0" fontId="87" fillId="2" borderId="55" xfId="193" applyNumberFormat="1" applyFont="1" applyFill="1" applyBorder="1" applyAlignment="1">
      <alignment horizontal="center" vertical="center" shrinkToFit="1"/>
    </xf>
    <xf numFmtId="2" fontId="87" fillId="2" borderId="55" xfId="193" applyNumberFormat="1" applyFont="1" applyFill="1" applyBorder="1" applyAlignment="1">
      <alignment horizontal="center" vertical="center"/>
    </xf>
    <xf numFmtId="2" fontId="87" fillId="2" borderId="57" xfId="193" applyNumberFormat="1" applyFont="1" applyFill="1" applyBorder="1" applyAlignment="1">
      <alignment horizontal="center" vertical="center" shrinkToFit="1"/>
    </xf>
    <xf numFmtId="2" fontId="87" fillId="2" borderId="26" xfId="193" applyNumberFormat="1" applyFont="1" applyFill="1" applyBorder="1" applyAlignment="1">
      <alignment horizontal="center" vertical="center" shrinkToFit="1"/>
    </xf>
    <xf numFmtId="0" fontId="122" fillId="2" borderId="0" xfId="2" applyFont="1" applyFill="1"/>
    <xf numFmtId="0" fontId="87" fillId="2" borderId="0" xfId="193" applyNumberFormat="1" applyFont="1" applyFill="1" applyAlignment="1">
      <alignment horizontal="left" vertical="top"/>
    </xf>
    <xf numFmtId="0" fontId="91" fillId="2" borderId="0" xfId="0" applyFont="1" applyFill="1" applyAlignment="1">
      <alignment horizontal="left"/>
    </xf>
    <xf numFmtId="0" fontId="122" fillId="30" borderId="0" xfId="0" applyFont="1" applyFill="1" applyAlignment="1">
      <alignment horizontal="left"/>
    </xf>
    <xf numFmtId="49" fontId="111" fillId="2" borderId="97" xfId="193" applyNumberFormat="1" applyFont="1" applyFill="1" applyBorder="1" applyAlignment="1">
      <alignment horizontal="left" vertical="center"/>
    </xf>
    <xf numFmtId="0" fontId="87" fillId="2" borderId="88" xfId="193" applyNumberFormat="1" applyFont="1" applyFill="1" applyBorder="1" applyAlignment="1">
      <alignment horizontal="center" vertical="center" shrinkToFit="1"/>
    </xf>
    <xf numFmtId="165" fontId="87" fillId="2" borderId="88" xfId="193" applyNumberFormat="1" applyFont="1" applyFill="1" applyBorder="1" applyAlignment="1">
      <alignment horizontal="center" vertical="center" shrinkToFit="1"/>
    </xf>
    <xf numFmtId="165" fontId="87" fillId="2" borderId="65" xfId="247" applyNumberFormat="1" applyFont="1" applyFill="1" applyBorder="1" applyAlignment="1">
      <alignment horizontal="center" vertical="center" shrinkToFit="1"/>
    </xf>
    <xf numFmtId="0" fontId="116" fillId="2" borderId="0" xfId="193" applyNumberFormat="1" applyFont="1" applyFill="1" applyAlignment="1">
      <alignment horizontal="left" vertical="top"/>
    </xf>
    <xf numFmtId="0" fontId="34" fillId="2" borderId="0" xfId="193" applyNumberFormat="1" applyFont="1" applyFill="1" applyAlignment="1">
      <alignment vertical="top"/>
    </xf>
    <xf numFmtId="0" fontId="107" fillId="2" borderId="0" xfId="193" applyNumberFormat="1" applyFont="1" applyFill="1" applyAlignment="1">
      <alignment vertical="top"/>
    </xf>
    <xf numFmtId="0" fontId="53" fillId="2" borderId="106" xfId="0" applyFont="1" applyFill="1" applyBorder="1"/>
    <xf numFmtId="0" fontId="34" fillId="2" borderId="55" xfId="7" applyNumberFormat="1" applyFont="1" applyFill="1" applyBorder="1" applyAlignment="1">
      <alignment horizontal="center" vertical="center" shrinkToFit="1"/>
    </xf>
    <xf numFmtId="167" fontId="35" fillId="2" borderId="0" xfId="7" applyNumberFormat="1" applyFont="1" applyFill="1" applyAlignment="1">
      <alignment horizontal="center" vertical="top"/>
    </xf>
    <xf numFmtId="0" fontId="91" fillId="2" borderId="0" xfId="271" applyFont="1" applyFill="1"/>
    <xf numFmtId="0" fontId="91" fillId="2" borderId="0" xfId="271" applyNumberFormat="1" applyFont="1" applyFill="1" applyAlignment="1">
      <alignment vertical="top"/>
    </xf>
    <xf numFmtId="0" fontId="35" fillId="28" borderId="0" xfId="0" applyFont="1" applyFill="1"/>
    <xf numFmtId="0" fontId="34" fillId="37" borderId="0" xfId="2" applyNumberFormat="1" applyFont="1" applyFill="1" applyAlignment="1">
      <alignment vertical="top"/>
    </xf>
    <xf numFmtId="0" fontId="34" fillId="28" borderId="0" xfId="2" applyNumberFormat="1" applyFont="1" applyFill="1" applyAlignment="1">
      <alignment vertical="top"/>
    </xf>
    <xf numFmtId="2" fontId="35" fillId="2" borderId="1" xfId="0" applyNumberFormat="1" applyFont="1" applyFill="1" applyBorder="1" applyAlignment="1">
      <alignment horizontal="center" vertical="center"/>
    </xf>
    <xf numFmtId="2" fontId="34" fillId="2" borderId="0" xfId="0" applyNumberFormat="1" applyFont="1" applyFill="1" applyBorder="1" applyAlignment="1">
      <alignment horizontal="center" vertical="center"/>
    </xf>
    <xf numFmtId="0" fontId="3" fillId="2" borderId="0" xfId="2" applyFont="1" applyFill="1" applyBorder="1"/>
    <xf numFmtId="0" fontId="41" fillId="0" borderId="0" xfId="0" applyFont="1" applyFill="1"/>
    <xf numFmtId="0" fontId="110" fillId="0" borderId="0" xfId="0" applyNumberFormat="1" applyFont="1" applyFill="1" applyAlignment="1">
      <alignment vertical="top"/>
    </xf>
    <xf numFmtId="2" fontId="123" fillId="2" borderId="55" xfId="0" applyNumberFormat="1" applyFont="1" applyFill="1" applyBorder="1" applyAlignment="1">
      <alignment horizontal="left" vertical="center"/>
    </xf>
    <xf numFmtId="2" fontId="2" fillId="2" borderId="55" xfId="0" applyNumberFormat="1" applyFont="1" applyFill="1" applyBorder="1" applyAlignment="1">
      <alignment horizontal="center" vertical="center"/>
    </xf>
    <xf numFmtId="2" fontId="33" fillId="2" borderId="1" xfId="0" applyNumberFormat="1" applyFont="1" applyFill="1" applyBorder="1" applyAlignment="1">
      <alignment vertical="center"/>
    </xf>
    <xf numFmtId="167" fontId="119" fillId="2" borderId="0" xfId="0" applyNumberFormat="1" applyFont="1" applyFill="1" applyAlignment="1">
      <alignment vertical="top"/>
    </xf>
    <xf numFmtId="0" fontId="34" fillId="2" borderId="88" xfId="0" applyNumberFormat="1" applyFont="1" applyFill="1" applyBorder="1" applyAlignment="1">
      <alignment horizontal="left" vertical="center" shrinkToFit="1"/>
    </xf>
    <xf numFmtId="2" fontId="111" fillId="2" borderId="26" xfId="283" applyNumberFormat="1" applyFont="1" applyFill="1" applyBorder="1" applyAlignment="1">
      <alignment horizontal="left" vertical="center" wrapText="1" shrinkToFit="1"/>
    </xf>
    <xf numFmtId="2" fontId="111" fillId="2" borderId="26" xfId="283" applyNumberFormat="1" applyFont="1" applyFill="1" applyBorder="1" applyAlignment="1">
      <alignment horizontal="left" vertical="center" wrapText="1" shrinkToFit="1"/>
    </xf>
    <xf numFmtId="0" fontId="111" fillId="2" borderId="0" xfId="283" applyNumberFormat="1" applyFont="1" applyFill="1" applyAlignment="1">
      <alignment vertical="top"/>
    </xf>
    <xf numFmtId="0" fontId="41" fillId="2" borderId="0" xfId="0" applyFont="1" applyFill="1" applyBorder="1" applyAlignment="1">
      <alignment horizontal="center"/>
    </xf>
    <xf numFmtId="165" fontId="33" fillId="2" borderId="56" xfId="281" applyNumberFormat="1" applyFont="1" applyFill="1" applyBorder="1" applyAlignment="1">
      <alignment horizontal="left" vertical="center" wrapText="1"/>
    </xf>
    <xf numFmtId="165" fontId="34" fillId="2" borderId="55" xfId="0" applyNumberFormat="1" applyFont="1" applyFill="1" applyBorder="1" applyAlignment="1">
      <alignment horizontal="center" vertical="center" wrapText="1"/>
    </xf>
    <xf numFmtId="165" fontId="33" fillId="2" borderId="115" xfId="276" applyNumberFormat="1" applyFont="1" applyFill="1" applyBorder="1" applyAlignment="1">
      <alignment horizontal="left"/>
    </xf>
    <xf numFmtId="165" fontId="33" fillId="2" borderId="11" xfId="276" applyNumberFormat="1" applyFont="1" applyFill="1" applyBorder="1" applyAlignment="1">
      <alignment horizontal="center"/>
    </xf>
    <xf numFmtId="165" fontId="34" fillId="2" borderId="11" xfId="0" applyNumberFormat="1" applyFont="1" applyFill="1" applyBorder="1" applyAlignment="1">
      <alignment horizontal="center" vertical="center" wrapText="1"/>
    </xf>
    <xf numFmtId="165" fontId="33" fillId="2" borderId="109" xfId="276" applyNumberFormat="1" applyFont="1" applyFill="1" applyBorder="1" applyAlignment="1">
      <alignment horizontal="center" vertical="center"/>
    </xf>
    <xf numFmtId="2" fontId="34" fillId="2" borderId="116" xfId="0" applyNumberFormat="1" applyFont="1" applyFill="1" applyBorder="1" applyAlignment="1">
      <alignment horizontal="center" vertical="center" wrapText="1" shrinkToFit="1"/>
    </xf>
    <xf numFmtId="165" fontId="33" fillId="2" borderId="110" xfId="276" applyNumberFormat="1" applyFont="1" applyFill="1" applyBorder="1" applyAlignment="1">
      <alignment horizontal="left"/>
    </xf>
    <xf numFmtId="165" fontId="33" fillId="2" borderId="14" xfId="276" applyNumberFormat="1" applyFont="1" applyFill="1" applyBorder="1" applyAlignment="1">
      <alignment horizontal="center"/>
    </xf>
    <xf numFmtId="165" fontId="34" fillId="2" borderId="14" xfId="0" applyNumberFormat="1" applyFont="1" applyFill="1" applyBorder="1" applyAlignment="1">
      <alignment horizontal="center" vertical="center" wrapText="1"/>
    </xf>
    <xf numFmtId="165" fontId="33" fillId="2" borderId="107" xfId="276" applyNumberFormat="1" applyFont="1" applyFill="1" applyBorder="1" applyAlignment="1">
      <alignment horizontal="center" vertical="center"/>
    </xf>
    <xf numFmtId="2" fontId="34" fillId="2" borderId="92" xfId="0" applyNumberFormat="1" applyFont="1" applyFill="1" applyBorder="1" applyAlignment="1">
      <alignment horizontal="center" vertical="center" wrapText="1" shrinkToFit="1"/>
    </xf>
    <xf numFmtId="165" fontId="33" fillId="2" borderId="114" xfId="276" applyNumberFormat="1" applyFont="1" applyFill="1" applyBorder="1" applyAlignment="1">
      <alignment horizontal="left"/>
    </xf>
    <xf numFmtId="165" fontId="33" fillId="2" borderId="65" xfId="276" applyNumberFormat="1" applyFont="1" applyFill="1" applyBorder="1" applyAlignment="1">
      <alignment horizontal="center"/>
    </xf>
    <xf numFmtId="165" fontId="34" fillId="2" borderId="65" xfId="0" applyNumberFormat="1" applyFont="1" applyFill="1" applyBorder="1" applyAlignment="1">
      <alignment horizontal="center" vertical="center" wrapText="1"/>
    </xf>
    <xf numFmtId="165" fontId="33" fillId="2" borderId="117" xfId="276" applyNumberFormat="1" applyFont="1" applyFill="1" applyBorder="1" applyAlignment="1">
      <alignment horizontal="center" vertical="center"/>
    </xf>
    <xf numFmtId="2" fontId="118" fillId="2" borderId="26" xfId="0" applyNumberFormat="1" applyFont="1" applyFill="1" applyBorder="1" applyAlignment="1">
      <alignment horizontal="center" vertical="center" shrinkToFit="1"/>
    </xf>
    <xf numFmtId="0" fontId="33" fillId="2" borderId="0" xfId="0" applyNumberFormat="1" applyFont="1" applyFill="1" applyAlignment="1">
      <alignment vertical="top"/>
    </xf>
    <xf numFmtId="167" fontId="33" fillId="2" borderId="0" xfId="0" applyNumberFormat="1" applyFont="1" applyFill="1" applyAlignment="1">
      <alignment vertical="top"/>
    </xf>
    <xf numFmtId="165" fontId="33" fillId="2" borderId="89" xfId="281" applyNumberFormat="1" applyFont="1" applyFill="1" applyBorder="1" applyAlignment="1">
      <alignment horizontal="left" vertical="center" wrapText="1"/>
    </xf>
    <xf numFmtId="168" fontId="34" fillId="2" borderId="95" xfId="0" applyNumberFormat="1" applyFont="1" applyFill="1" applyBorder="1" applyAlignment="1">
      <alignment horizontal="center" vertical="center" shrinkToFit="1"/>
    </xf>
    <xf numFmtId="165" fontId="33" fillId="2" borderId="114" xfId="281" applyNumberFormat="1" applyFont="1" applyFill="1" applyBorder="1" applyAlignment="1">
      <alignment horizontal="left" vertical="center" wrapText="1"/>
    </xf>
    <xf numFmtId="165" fontId="33" fillId="2" borderId="65" xfId="281" applyNumberFormat="1" applyFont="1" applyFill="1" applyBorder="1" applyAlignment="1">
      <alignment horizontal="center" vertical="center" wrapText="1"/>
    </xf>
    <xf numFmtId="168" fontId="33" fillId="2" borderId="88" xfId="281" applyNumberFormat="1" applyFont="1" applyFill="1" applyBorder="1" applyAlignment="1">
      <alignment horizontal="center" vertical="center" wrapText="1"/>
    </xf>
    <xf numFmtId="168" fontId="33" fillId="2" borderId="1" xfId="76" applyNumberFormat="1" applyFont="1" applyFill="1" applyBorder="1" applyAlignment="1">
      <alignment horizontal="center" vertical="center" wrapText="1"/>
    </xf>
    <xf numFmtId="165" fontId="33" fillId="2" borderId="118" xfId="281" applyNumberFormat="1" applyFont="1" applyFill="1" applyBorder="1" applyAlignment="1">
      <alignment horizontal="center" vertical="center" wrapText="1"/>
    </xf>
    <xf numFmtId="2" fontId="34" fillId="2" borderId="94" xfId="76" applyNumberFormat="1" applyFont="1" applyFill="1" applyBorder="1" applyAlignment="1">
      <alignment horizontal="center" vertical="center" shrinkToFit="1"/>
    </xf>
    <xf numFmtId="0" fontId="34" fillId="2" borderId="55" xfId="0" applyNumberFormat="1" applyFont="1" applyFill="1" applyBorder="1" applyAlignment="1">
      <alignment horizontal="center" vertical="center" shrinkToFit="1"/>
    </xf>
    <xf numFmtId="0" fontId="41" fillId="2" borderId="55" xfId="0" applyFont="1" applyFill="1" applyBorder="1" applyAlignment="1">
      <alignment horizontal="center"/>
    </xf>
    <xf numFmtId="0" fontId="53" fillId="2" borderId="55" xfId="0" applyFont="1" applyFill="1" applyBorder="1"/>
    <xf numFmtId="0" fontId="41" fillId="2" borderId="57" xfId="0" applyFont="1" applyFill="1" applyBorder="1" applyAlignment="1">
      <alignment horizontal="center"/>
    </xf>
    <xf numFmtId="0" fontId="41" fillId="2" borderId="58" xfId="0" applyFont="1" applyFill="1" applyBorder="1" applyAlignment="1">
      <alignment horizontal="center"/>
    </xf>
    <xf numFmtId="2" fontId="34" fillId="2" borderId="59" xfId="7" applyNumberFormat="1" applyFont="1" applyFill="1" applyBorder="1" applyAlignment="1">
      <alignment vertical="center"/>
    </xf>
    <xf numFmtId="2" fontId="34" fillId="2" borderId="51" xfId="7" applyNumberFormat="1" applyFont="1" applyFill="1" applyBorder="1" applyAlignment="1">
      <alignment vertical="center"/>
    </xf>
    <xf numFmtId="165" fontId="33" fillId="2" borderId="26" xfId="3" applyNumberFormat="1" applyFont="1" applyFill="1" applyBorder="1" applyAlignment="1">
      <alignment horizontal="left" vertical="center" wrapText="1"/>
    </xf>
    <xf numFmtId="165" fontId="33" fillId="2" borderId="26" xfId="3" applyNumberFormat="1" applyFont="1" applyFill="1" applyBorder="1" applyAlignment="1">
      <alignment horizontal="center" vertical="center" wrapText="1"/>
    </xf>
    <xf numFmtId="165" fontId="33" fillId="2" borderId="26" xfId="282" applyNumberFormat="1" applyFont="1" applyFill="1" applyBorder="1" applyAlignment="1">
      <alignment horizontal="left" vertical="center"/>
    </xf>
    <xf numFmtId="165" fontId="33" fillId="2" borderId="26" xfId="282" applyNumberFormat="1" applyFont="1" applyFill="1" applyBorder="1" applyAlignment="1">
      <alignment horizontal="center" vertical="center"/>
    </xf>
    <xf numFmtId="165" fontId="33" fillId="2" borderId="26" xfId="69" applyNumberFormat="1" applyFont="1" applyFill="1" applyBorder="1" applyAlignment="1">
      <alignment horizontal="center" vertical="center"/>
    </xf>
    <xf numFmtId="2" fontId="33" fillId="2" borderId="26" xfId="69" applyNumberFormat="1" applyFont="1" applyFill="1" applyBorder="1" applyAlignment="1">
      <alignment horizontal="center" vertical="center"/>
    </xf>
    <xf numFmtId="2" fontId="33" fillId="2" borderId="26" xfId="0" applyNumberFormat="1" applyFont="1" applyFill="1" applyBorder="1" applyAlignment="1">
      <alignment horizontal="center" vertical="center" wrapText="1" shrinkToFit="1"/>
    </xf>
    <xf numFmtId="0" fontId="111" fillId="0" borderId="0" xfId="0" applyNumberFormat="1" applyFont="1" applyFill="1" applyAlignment="1">
      <alignment vertical="top"/>
    </xf>
    <xf numFmtId="0" fontId="51" fillId="0" borderId="0" xfId="0" applyNumberFormat="1" applyFont="1" applyFill="1" applyAlignment="1">
      <alignment vertical="top"/>
    </xf>
    <xf numFmtId="0" fontId="35" fillId="28" borderId="0" xfId="7" applyNumberFormat="1" applyFont="1" applyFill="1" applyAlignment="1">
      <alignment vertical="top"/>
    </xf>
    <xf numFmtId="0" fontId="56" fillId="28" borderId="0" xfId="0" applyNumberFormat="1" applyFont="1" applyFill="1" applyAlignment="1">
      <alignment vertical="top"/>
    </xf>
    <xf numFmtId="165" fontId="33" fillId="2" borderId="26" xfId="74" applyNumberFormat="1" applyFont="1" applyFill="1" applyBorder="1" applyAlignment="1">
      <alignment horizontal="center" vertical="center"/>
    </xf>
    <xf numFmtId="165" fontId="33" fillId="2" borderId="26" xfId="64" applyNumberFormat="1" applyFont="1" applyFill="1" applyBorder="1" applyAlignment="1">
      <alignment horizontal="center" vertical="center"/>
    </xf>
    <xf numFmtId="165" fontId="87" fillId="2" borderId="64" xfId="64" applyNumberFormat="1" applyFont="1" applyFill="1" applyBorder="1" applyAlignment="1">
      <alignment horizontal="center" vertical="center" shrinkToFit="1"/>
    </xf>
    <xf numFmtId="49" fontId="33" fillId="2" borderId="89" xfId="6" applyNumberFormat="1" applyFont="1" applyFill="1" applyBorder="1" applyAlignment="1">
      <alignment horizontal="left" vertical="center" wrapText="1"/>
    </xf>
    <xf numFmtId="0" fontId="34" fillId="2" borderId="64" xfId="6" applyNumberFormat="1" applyFont="1" applyFill="1" applyBorder="1" applyAlignment="1">
      <alignment horizontal="center" vertical="center" shrinkToFit="1"/>
    </xf>
    <xf numFmtId="2" fontId="34" fillId="2" borderId="64" xfId="6" applyNumberFormat="1" applyFont="1" applyFill="1" applyBorder="1" applyAlignment="1">
      <alignment horizontal="center" vertical="center" shrinkToFit="1"/>
    </xf>
    <xf numFmtId="2" fontId="34" fillId="2" borderId="64" xfId="6" applyNumberFormat="1" applyFont="1" applyFill="1" applyBorder="1" applyAlignment="1">
      <alignment horizontal="center" vertical="center"/>
    </xf>
    <xf numFmtId="165" fontId="34" fillId="2" borderId="64" xfId="6" applyNumberFormat="1" applyFont="1" applyFill="1" applyBorder="1" applyAlignment="1">
      <alignment horizontal="center" vertical="center" shrinkToFit="1"/>
    </xf>
    <xf numFmtId="2" fontId="34" fillId="2" borderId="81" xfId="6" applyNumberFormat="1" applyFont="1" applyFill="1" applyBorder="1" applyAlignment="1">
      <alignment horizontal="center" vertical="center" shrinkToFit="1"/>
    </xf>
    <xf numFmtId="2" fontId="34" fillId="2" borderId="41" xfId="6" applyNumberFormat="1" applyFont="1" applyFill="1" applyBorder="1" applyAlignment="1">
      <alignment horizontal="center" vertical="center" shrinkToFit="1"/>
    </xf>
    <xf numFmtId="2" fontId="34" fillId="2" borderId="41" xfId="6" applyNumberFormat="1" applyFont="1" applyFill="1" applyBorder="1" applyAlignment="1">
      <alignment horizontal="center" vertical="center" shrinkToFit="1"/>
    </xf>
    <xf numFmtId="2" fontId="33" fillId="2" borderId="57" xfId="0" applyNumberFormat="1" applyFont="1" applyFill="1" applyBorder="1" applyAlignment="1">
      <alignment horizontal="center" vertical="center" wrapText="1" shrinkToFit="1"/>
    </xf>
    <xf numFmtId="0" fontId="87" fillId="2" borderId="64" xfId="64" applyNumberFormat="1" applyFont="1" applyFill="1" applyBorder="1" applyAlignment="1">
      <alignment horizontal="center" vertical="center" shrinkToFit="1"/>
    </xf>
    <xf numFmtId="168" fontId="87" fillId="2" borderId="64" xfId="64" applyNumberFormat="1" applyFont="1" applyFill="1" applyBorder="1" applyAlignment="1">
      <alignment horizontal="center" vertical="center" shrinkToFit="1"/>
    </xf>
    <xf numFmtId="2" fontId="87" fillId="2" borderId="64" xfId="64" applyNumberFormat="1" applyFont="1" applyFill="1" applyBorder="1" applyAlignment="1">
      <alignment horizontal="center" vertical="center" shrinkToFit="1"/>
    </xf>
    <xf numFmtId="2" fontId="87" fillId="2" borderId="81" xfId="64" applyNumberFormat="1" applyFont="1" applyFill="1" applyBorder="1" applyAlignment="1">
      <alignment horizontal="center" vertical="center" shrinkToFit="1"/>
    </xf>
    <xf numFmtId="0" fontId="53" fillId="2" borderId="0" xfId="76" applyFont="1" applyFill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51" fillId="2" borderId="0" xfId="0" applyNumberFormat="1" applyFont="1" applyFill="1" applyAlignment="1">
      <alignment vertical="top"/>
    </xf>
    <xf numFmtId="2" fontId="107" fillId="2" borderId="88" xfId="0" applyNumberFormat="1" applyFont="1" applyFill="1" applyBorder="1" applyAlignment="1">
      <alignment horizontal="center" vertical="center" shrinkToFit="1"/>
    </xf>
    <xf numFmtId="168" fontId="107" fillId="2" borderId="55" xfId="0" applyNumberFormat="1" applyFont="1" applyFill="1" applyBorder="1" applyAlignment="1">
      <alignment horizontal="center" vertical="center"/>
    </xf>
    <xf numFmtId="2" fontId="111" fillId="2" borderId="26" xfId="0" applyNumberFormat="1" applyFont="1" applyFill="1" applyBorder="1" applyAlignment="1">
      <alignment horizontal="center" vertical="center" wrapText="1" shrinkToFit="1"/>
    </xf>
    <xf numFmtId="2" fontId="111" fillId="2" borderId="26" xfId="0" applyNumberFormat="1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4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horizontal="left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4" fillId="3" borderId="24" xfId="2" applyFont="1" applyFill="1" applyBorder="1" applyAlignment="1">
      <alignment horizontal="right" vertical="center"/>
    </xf>
    <xf numFmtId="0" fontId="14" fillId="3" borderId="25" xfId="2" applyFont="1" applyFill="1" applyBorder="1" applyAlignment="1">
      <alignment horizontal="right" vertical="center"/>
    </xf>
    <xf numFmtId="0" fontId="12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8" fillId="0" borderId="0" xfId="2" applyFont="1" applyFill="1" applyAlignment="1">
      <alignment horizontal="right" vertical="center" wrapText="1"/>
    </xf>
    <xf numFmtId="0" fontId="106" fillId="0" borderId="0" xfId="2" applyFont="1" applyFill="1" applyAlignment="1">
      <alignment horizontal="center" vertical="top" wrapText="1"/>
    </xf>
    <xf numFmtId="0" fontId="22" fillId="0" borderId="3" xfId="248" applyFont="1" applyBorder="1" applyAlignment="1">
      <alignment horizontal="center" vertical="center" wrapText="1"/>
    </xf>
    <xf numFmtId="0" fontId="22" fillId="0" borderId="6" xfId="248" applyFont="1" applyBorder="1" applyAlignment="1">
      <alignment horizontal="center" vertical="center"/>
    </xf>
    <xf numFmtId="0" fontId="23" fillId="0" borderId="4" xfId="248" applyFont="1" applyBorder="1" applyAlignment="1">
      <alignment horizontal="center" vertical="center" wrapText="1"/>
    </xf>
    <xf numFmtId="0" fontId="23" fillId="0" borderId="7" xfId="248" applyFont="1" applyBorder="1" applyAlignment="1">
      <alignment horizontal="center" vertical="center"/>
    </xf>
    <xf numFmtId="0" fontId="10" fillId="0" borderId="4" xfId="248" applyFont="1" applyBorder="1" applyAlignment="1">
      <alignment horizontal="center" vertical="center" wrapText="1"/>
    </xf>
    <xf numFmtId="0" fontId="10" fillId="0" borderId="7" xfId="248" applyFont="1" applyBorder="1" applyAlignment="1">
      <alignment horizontal="center" vertical="center"/>
    </xf>
    <xf numFmtId="0" fontId="14" fillId="3" borderId="4" xfId="248" applyFont="1" applyFill="1" applyBorder="1" applyAlignment="1">
      <alignment horizontal="center"/>
    </xf>
    <xf numFmtId="0" fontId="14" fillId="3" borderId="5" xfId="248" applyFont="1" applyFill="1" applyBorder="1" applyAlignment="1">
      <alignment horizontal="center"/>
    </xf>
    <xf numFmtId="2" fontId="34" fillId="2" borderId="58" xfId="75" applyNumberFormat="1" applyFont="1" applyFill="1" applyBorder="1" applyAlignment="1">
      <alignment horizontal="center" vertical="center" wrapText="1" shrinkToFit="1"/>
    </xf>
    <xf numFmtId="0" fontId="34" fillId="2" borderId="26" xfId="69" applyFont="1" applyFill="1" applyBorder="1" applyAlignment="1">
      <alignment horizontal="left" vertical="center" wrapText="1"/>
    </xf>
    <xf numFmtId="0" fontId="34" fillId="2" borderId="26" xfId="69" applyFont="1" applyFill="1" applyBorder="1" applyAlignment="1">
      <alignment horizontal="center" vertical="center"/>
    </xf>
    <xf numFmtId="2" fontId="118" fillId="2" borderId="26" xfId="75" applyNumberFormat="1" applyFont="1" applyFill="1" applyBorder="1" applyAlignment="1">
      <alignment horizontal="center" vertical="center" wrapText="1" shrinkToFit="1"/>
    </xf>
    <xf numFmtId="1" fontId="34" fillId="2" borderId="61" xfId="6" applyNumberFormat="1" applyFont="1" applyFill="1" applyBorder="1" applyAlignment="1">
      <alignment horizontal="center" vertical="center" shrinkToFit="1"/>
    </xf>
    <xf numFmtId="0" fontId="34" fillId="2" borderId="40" xfId="6" applyNumberFormat="1" applyFont="1" applyFill="1" applyBorder="1" applyAlignment="1">
      <alignment horizontal="center" vertical="center" shrinkToFit="1"/>
    </xf>
    <xf numFmtId="49" fontId="34" fillId="2" borderId="44" xfId="6" applyNumberFormat="1" applyFont="1" applyFill="1" applyBorder="1" applyAlignment="1">
      <alignment horizontal="center" vertical="center" wrapText="1"/>
    </xf>
    <xf numFmtId="49" fontId="34" fillId="2" borderId="41" xfId="6" applyNumberFormat="1" applyFont="1" applyFill="1" applyBorder="1" applyAlignment="1">
      <alignment horizontal="center" vertical="center" wrapText="1"/>
    </xf>
    <xf numFmtId="49" fontId="34" fillId="2" borderId="44" xfId="6" applyNumberFormat="1" applyFont="1" applyFill="1" applyBorder="1" applyAlignment="1">
      <alignment vertical="top" wrapText="1"/>
    </xf>
    <xf numFmtId="49" fontId="34" fillId="2" borderId="41" xfId="6" applyNumberFormat="1" applyFont="1" applyFill="1" applyBorder="1" applyAlignment="1">
      <alignment vertical="top" wrapText="1"/>
    </xf>
    <xf numFmtId="0" fontId="34" fillId="2" borderId="44" xfId="6" applyNumberFormat="1" applyFont="1" applyFill="1" applyBorder="1" applyAlignment="1">
      <alignment horizontal="center" vertical="center"/>
    </xf>
    <xf numFmtId="0" fontId="34" fillId="2" borderId="50" xfId="6" applyNumberFormat="1" applyFont="1" applyFill="1" applyBorder="1" applyAlignment="1">
      <alignment horizontal="center" vertical="center"/>
    </xf>
    <xf numFmtId="2" fontId="34" fillId="2" borderId="44" xfId="6" applyNumberFormat="1" applyFont="1" applyFill="1" applyBorder="1" applyAlignment="1">
      <alignment horizontal="center" vertical="center" shrinkToFit="1"/>
    </xf>
    <xf numFmtId="2" fontId="34" fillId="2" borderId="50" xfId="6" applyNumberFormat="1" applyFont="1" applyFill="1" applyBorder="1" applyAlignment="1">
      <alignment horizontal="center" vertical="center" shrinkToFit="1"/>
    </xf>
    <xf numFmtId="2" fontId="34" fillId="2" borderId="26" xfId="6" applyNumberFormat="1" applyFont="1" applyFill="1" applyBorder="1" applyAlignment="1">
      <alignment horizontal="center" vertical="center" shrinkToFit="1"/>
    </xf>
    <xf numFmtId="2" fontId="34" fillId="2" borderId="41" xfId="6" applyNumberFormat="1" applyFont="1" applyFill="1" applyBorder="1" applyAlignment="1">
      <alignment horizontal="center" vertical="center" shrinkToFit="1"/>
    </xf>
    <xf numFmtId="2" fontId="34" fillId="2" borderId="84" xfId="6" applyNumberFormat="1" applyFont="1" applyFill="1" applyBorder="1" applyAlignment="1">
      <alignment horizontal="center" vertical="center" shrinkToFit="1"/>
    </xf>
    <xf numFmtId="2" fontId="34" fillId="2" borderId="22" xfId="6" applyNumberFormat="1" applyFont="1" applyFill="1" applyBorder="1" applyAlignment="1">
      <alignment horizontal="center" vertical="center" shrinkToFit="1"/>
    </xf>
    <xf numFmtId="2" fontId="33" fillId="2" borderId="58" xfId="75" applyNumberFormat="1" applyFont="1" applyFill="1" applyBorder="1" applyAlignment="1">
      <alignment horizontal="center" vertical="center" wrapText="1" shrinkToFit="1"/>
    </xf>
    <xf numFmtId="0" fontId="34" fillId="2" borderId="26" xfId="74" applyFont="1" applyFill="1" applyBorder="1" applyAlignment="1">
      <alignment horizontal="left" vertical="center" wrapText="1"/>
    </xf>
    <xf numFmtId="0" fontId="34" fillId="2" borderId="44" xfId="74" applyFont="1" applyFill="1" applyBorder="1" applyAlignment="1">
      <alignment horizontal="center" vertical="center" wrapText="1"/>
    </xf>
    <xf numFmtId="0" fontId="34" fillId="2" borderId="41" xfId="74" applyFont="1" applyFill="1" applyBorder="1" applyAlignment="1">
      <alignment horizontal="center" vertical="center" wrapText="1"/>
    </xf>
    <xf numFmtId="0" fontId="34" fillId="2" borderId="50" xfId="74" applyFont="1" applyFill="1" applyBorder="1" applyAlignment="1">
      <alignment horizontal="center" vertical="center" wrapText="1"/>
    </xf>
    <xf numFmtId="2" fontId="34" fillId="2" borderId="44" xfId="0" applyNumberFormat="1" applyFont="1" applyFill="1" applyBorder="1" applyAlignment="1">
      <alignment horizontal="center" vertical="center" shrinkToFit="1"/>
    </xf>
    <xf numFmtId="2" fontId="34" fillId="2" borderId="41" xfId="0" applyNumberFormat="1" applyFont="1" applyFill="1" applyBorder="1" applyAlignment="1">
      <alignment horizontal="center" vertical="center" shrinkToFit="1"/>
    </xf>
    <xf numFmtId="2" fontId="34" fillId="2" borderId="50" xfId="0" applyNumberFormat="1" applyFont="1" applyFill="1" applyBorder="1" applyAlignment="1">
      <alignment horizontal="center" vertical="center" shrinkToFit="1"/>
    </xf>
    <xf numFmtId="2" fontId="34" fillId="2" borderId="56" xfId="0" applyNumberFormat="1" applyFont="1" applyFill="1" applyBorder="1" applyAlignment="1">
      <alignment horizontal="center" vertical="center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7" xfId="0" applyNumberFormat="1" applyFont="1" applyFill="1" applyBorder="1" applyAlignment="1">
      <alignment horizontal="center" vertical="center"/>
    </xf>
    <xf numFmtId="2" fontId="34" fillId="2" borderId="56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3" fillId="2" borderId="26" xfId="74" applyNumberFormat="1" applyFont="1" applyFill="1" applyBorder="1" applyAlignment="1">
      <alignment horizontal="center" vertical="center" wrapText="1"/>
    </xf>
    <xf numFmtId="2" fontId="33" fillId="2" borderId="26" xfId="75" applyNumberFormat="1" applyFont="1" applyFill="1" applyBorder="1" applyAlignment="1">
      <alignment horizontal="center" vertical="center" wrapText="1" shrinkToFit="1"/>
    </xf>
    <xf numFmtId="165" fontId="33" fillId="2" borderId="26" xfId="75" applyNumberFormat="1" applyFont="1" applyFill="1" applyBorder="1" applyAlignment="1">
      <alignment horizontal="center" vertical="center" wrapText="1" shrinkToFit="1"/>
    </xf>
    <xf numFmtId="2" fontId="34" fillId="2" borderId="26" xfId="75" applyNumberFormat="1" applyFont="1" applyFill="1" applyBorder="1" applyAlignment="1">
      <alignment horizontal="center" vertical="center" wrapText="1" shrinkToFit="1"/>
    </xf>
    <xf numFmtId="0" fontId="34" fillId="2" borderId="53" xfId="69" applyFont="1" applyFill="1" applyBorder="1" applyAlignment="1">
      <alignment horizontal="center" vertical="center" wrapText="1"/>
    </xf>
    <xf numFmtId="49" fontId="34" fillId="2" borderId="44" xfId="75" applyNumberFormat="1" applyFont="1" applyFill="1" applyBorder="1" applyAlignment="1">
      <alignment horizontal="center" vertical="center" wrapText="1"/>
    </xf>
    <xf numFmtId="49" fontId="34" fillId="2" borderId="50" xfId="75" applyNumberFormat="1" applyFont="1" applyFill="1" applyBorder="1" applyAlignment="1">
      <alignment horizontal="center" vertical="center" wrapText="1"/>
    </xf>
    <xf numFmtId="165" fontId="33" fillId="2" borderId="26" xfId="69" applyNumberFormat="1" applyFont="1" applyFill="1" applyBorder="1" applyAlignment="1">
      <alignment horizontal="center" vertical="center" wrapText="1"/>
    </xf>
    <xf numFmtId="165" fontId="118" fillId="2" borderId="26" xfId="75" applyNumberFormat="1" applyFont="1" applyFill="1" applyBorder="1" applyAlignment="1">
      <alignment horizontal="center" vertical="center" wrapText="1" shrinkToFit="1"/>
    </xf>
    <xf numFmtId="0" fontId="34" fillId="2" borderId="61" xfId="0" applyNumberFormat="1" applyFont="1" applyFill="1" applyBorder="1" applyAlignment="1">
      <alignment horizontal="center" vertical="center" shrinkToFit="1"/>
    </xf>
    <xf numFmtId="0" fontId="34" fillId="2" borderId="40" xfId="0" applyNumberFormat="1" applyFont="1" applyFill="1" applyBorder="1" applyAlignment="1">
      <alignment horizontal="center" vertical="center" shrinkToFit="1"/>
    </xf>
    <xf numFmtId="0" fontId="34" fillId="2" borderId="49" xfId="0" applyNumberFormat="1" applyFont="1" applyFill="1" applyBorder="1" applyAlignment="1">
      <alignment horizontal="center" vertical="center" shrinkToFit="1"/>
    </xf>
    <xf numFmtId="49" fontId="34" fillId="2" borderId="44" xfId="0" applyNumberFormat="1" applyFont="1" applyFill="1" applyBorder="1" applyAlignment="1">
      <alignment horizontal="center" vertical="center" wrapText="1"/>
    </xf>
    <xf numFmtId="49" fontId="34" fillId="2" borderId="41" xfId="0" applyNumberFormat="1" applyFont="1" applyFill="1" applyBorder="1" applyAlignment="1">
      <alignment horizontal="center" vertical="center" wrapText="1"/>
    </xf>
    <xf numFmtId="49" fontId="34" fillId="2" borderId="50" xfId="0" applyNumberFormat="1" applyFont="1" applyFill="1" applyBorder="1" applyAlignment="1">
      <alignment horizontal="center" vertical="center" wrapText="1"/>
    </xf>
    <xf numFmtId="49" fontId="34" fillId="2" borderId="44" xfId="0" applyNumberFormat="1" applyFont="1" applyFill="1" applyBorder="1" applyAlignment="1">
      <alignment horizontal="left" vertical="center" wrapText="1"/>
    </xf>
    <xf numFmtId="49" fontId="34" fillId="2" borderId="41" xfId="0" applyNumberFormat="1" applyFont="1" applyFill="1" applyBorder="1" applyAlignment="1">
      <alignment horizontal="left" vertical="center" wrapText="1"/>
    </xf>
    <xf numFmtId="49" fontId="34" fillId="2" borderId="50" xfId="0" applyNumberFormat="1" applyFont="1" applyFill="1" applyBorder="1" applyAlignment="1">
      <alignment horizontal="left" vertical="center" wrapText="1"/>
    </xf>
    <xf numFmtId="0" fontId="34" fillId="2" borderId="44" xfId="0" applyNumberFormat="1" applyFont="1" applyFill="1" applyBorder="1" applyAlignment="1">
      <alignment horizontal="center" vertical="center"/>
    </xf>
    <xf numFmtId="0" fontId="34" fillId="2" borderId="41" xfId="0" applyNumberFormat="1" applyFont="1" applyFill="1" applyBorder="1" applyAlignment="1">
      <alignment horizontal="center" vertical="center"/>
    </xf>
    <xf numFmtId="0" fontId="34" fillId="2" borderId="50" xfId="0" applyNumberFormat="1" applyFont="1" applyFill="1" applyBorder="1" applyAlignment="1">
      <alignment horizontal="center" vertical="center"/>
    </xf>
    <xf numFmtId="2" fontId="34" fillId="2" borderId="84" xfId="0" applyNumberFormat="1" applyFont="1" applyFill="1" applyBorder="1" applyAlignment="1">
      <alignment horizontal="center" vertical="center"/>
    </xf>
    <xf numFmtId="2" fontId="34" fillId="2" borderId="22" xfId="0" applyNumberFormat="1" applyFont="1" applyFill="1" applyBorder="1" applyAlignment="1">
      <alignment horizontal="center" vertical="center"/>
    </xf>
    <xf numFmtId="2" fontId="34" fillId="2" borderId="85" xfId="0" applyNumberFormat="1" applyFont="1" applyFill="1" applyBorder="1" applyAlignment="1">
      <alignment horizontal="center" vertical="center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0" fontId="34" fillId="2" borderId="53" xfId="74" applyFont="1" applyFill="1" applyBorder="1" applyAlignment="1">
      <alignment horizontal="center" vertical="center" wrapText="1"/>
    </xf>
    <xf numFmtId="49" fontId="33" fillId="2" borderId="26" xfId="74" applyNumberFormat="1" applyFont="1" applyFill="1" applyBorder="1" applyAlignment="1">
      <alignment horizontal="center" vertical="center" wrapText="1"/>
    </xf>
    <xf numFmtId="1" fontId="34" fillId="2" borderId="61" xfId="0" applyNumberFormat="1" applyFont="1" applyFill="1" applyBorder="1" applyAlignment="1">
      <alignment horizontal="center" vertical="center" shrinkToFit="1"/>
    </xf>
    <xf numFmtId="0" fontId="121" fillId="2" borderId="49" xfId="0" applyFont="1" applyFill="1" applyBorder="1"/>
    <xf numFmtId="0" fontId="121" fillId="2" borderId="50" xfId="0" applyFont="1" applyFill="1" applyBorder="1" applyAlignment="1">
      <alignment horizontal="center"/>
    </xf>
    <xf numFmtId="0" fontId="121" fillId="2" borderId="50" xfId="0" applyFont="1" applyFill="1" applyBorder="1" applyAlignment="1">
      <alignment vertical="center"/>
    </xf>
    <xf numFmtId="2" fontId="34" fillId="2" borderId="26" xfId="0" applyNumberFormat="1" applyFont="1" applyFill="1" applyBorder="1" applyAlignment="1">
      <alignment horizontal="center" vertical="center" shrinkToFit="1"/>
    </xf>
    <xf numFmtId="2" fontId="121" fillId="2" borderId="26" xfId="0" applyNumberFormat="1" applyFont="1" applyFill="1" applyBorder="1"/>
    <xf numFmtId="0" fontId="121" fillId="2" borderId="26" xfId="0" applyFont="1" applyFill="1" applyBorder="1"/>
    <xf numFmtId="0" fontId="121" fillId="2" borderId="50" xfId="0" applyFont="1" applyFill="1" applyBorder="1"/>
    <xf numFmtId="2" fontId="34" fillId="2" borderId="22" xfId="0" applyNumberFormat="1" applyFont="1" applyFill="1" applyBorder="1" applyAlignment="1">
      <alignment horizontal="center" vertical="center" shrinkToFit="1"/>
    </xf>
    <xf numFmtId="0" fontId="121" fillId="2" borderId="85" xfId="0" applyFont="1" applyFill="1" applyBorder="1" applyAlignment="1">
      <alignment horizontal="center"/>
    </xf>
    <xf numFmtId="0" fontId="87" fillId="2" borderId="26" xfId="281" applyFont="1" applyFill="1" applyBorder="1" applyAlignment="1">
      <alignment horizontal="left" vertical="center" wrapText="1"/>
    </xf>
    <xf numFmtId="0" fontId="111" fillId="2" borderId="26" xfId="281" applyFont="1" applyFill="1" applyBorder="1" applyAlignment="1">
      <alignment horizontal="center" vertical="center" wrapText="1"/>
    </xf>
    <xf numFmtId="2" fontId="87" fillId="2" borderId="26" xfId="0" applyNumberFormat="1" applyFont="1" applyFill="1" applyBorder="1" applyAlignment="1">
      <alignment horizontal="center" vertical="center" wrapText="1" shrinkToFit="1"/>
    </xf>
    <xf numFmtId="1" fontId="87" fillId="2" borderId="53" xfId="71" applyNumberFormat="1" applyFont="1" applyFill="1" applyBorder="1" applyAlignment="1">
      <alignment horizontal="center" vertical="center"/>
    </xf>
    <xf numFmtId="0" fontId="87" fillId="2" borderId="53" xfId="71" applyFont="1" applyFill="1" applyBorder="1" applyAlignment="1">
      <alignment horizontal="center" vertical="center"/>
    </xf>
    <xf numFmtId="49" fontId="87" fillId="2" borderId="44" xfId="281" applyNumberFormat="1" applyFont="1" applyFill="1" applyBorder="1" applyAlignment="1">
      <alignment horizontal="center" vertical="center" wrapText="1"/>
    </xf>
    <xf numFmtId="49" fontId="87" fillId="2" borderId="50" xfId="281" applyNumberFormat="1" applyFont="1" applyFill="1" applyBorder="1" applyAlignment="1">
      <alignment horizontal="center" vertical="center" wrapText="1"/>
    </xf>
    <xf numFmtId="2" fontId="111" fillId="2" borderId="26" xfId="74" applyNumberFormat="1" applyFont="1" applyFill="1" applyBorder="1" applyAlignment="1">
      <alignment horizontal="center" vertical="center" wrapText="1"/>
    </xf>
    <xf numFmtId="165" fontId="87" fillId="2" borderId="26" xfId="0" applyNumberFormat="1" applyFont="1" applyFill="1" applyBorder="1" applyAlignment="1">
      <alignment horizontal="center" vertical="center" wrapText="1" shrinkToFit="1"/>
    </xf>
    <xf numFmtId="2" fontId="111" fillId="2" borderId="26" xfId="0" applyNumberFormat="1" applyFont="1" applyFill="1" applyBorder="1" applyAlignment="1">
      <alignment horizontal="center" vertical="center" wrapText="1" shrinkToFit="1"/>
    </xf>
    <xf numFmtId="2" fontId="111" fillId="2" borderId="58" xfId="0" applyNumberFormat="1" applyFont="1" applyFill="1" applyBorder="1" applyAlignment="1">
      <alignment horizontal="center" vertical="center" wrapText="1" shrinkToFit="1"/>
    </xf>
    <xf numFmtId="2" fontId="34" fillId="2" borderId="44" xfId="7" applyNumberFormat="1" applyFont="1" applyFill="1" applyBorder="1" applyAlignment="1">
      <alignment horizontal="center" vertical="center" shrinkToFit="1"/>
    </xf>
    <xf numFmtId="2" fontId="34" fillId="2" borderId="50" xfId="7" applyNumberFormat="1" applyFont="1" applyFill="1" applyBorder="1" applyAlignment="1">
      <alignment horizontal="center" vertical="center" shrinkToFit="1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49" fontId="34" fillId="2" borderId="61" xfId="7" applyNumberFormat="1" applyFont="1" applyFill="1" applyBorder="1" applyAlignment="1">
      <alignment vertical="top" wrapText="1"/>
    </xf>
    <xf numFmtId="49" fontId="34" fillId="2" borderId="49" xfId="7" applyNumberFormat="1" applyFont="1" applyFill="1" applyBorder="1" applyAlignment="1">
      <alignment vertical="top" wrapText="1"/>
    </xf>
    <xf numFmtId="0" fontId="34" fillId="2" borderId="44" xfId="252" applyNumberFormat="1" applyFont="1" applyFill="1" applyBorder="1" applyAlignment="1">
      <alignment horizontal="center" vertical="center"/>
    </xf>
    <xf numFmtId="0" fontId="34" fillId="2" borderId="50" xfId="252" applyNumberFormat="1" applyFont="1" applyFill="1" applyBorder="1" applyAlignment="1">
      <alignment horizontal="center" vertical="center"/>
    </xf>
    <xf numFmtId="165" fontId="34" fillId="2" borderId="26" xfId="7" applyNumberFormat="1" applyFont="1" applyFill="1" applyBorder="1" applyAlignment="1">
      <alignment horizontal="center" vertical="center" shrinkToFit="1"/>
    </xf>
    <xf numFmtId="49" fontId="34" fillId="2" borderId="44" xfId="0" applyNumberFormat="1" applyFont="1" applyFill="1" applyBorder="1" applyAlignment="1">
      <alignment horizontal="left" vertical="top" wrapText="1"/>
    </xf>
    <xf numFmtId="49" fontId="34" fillId="2" borderId="50" xfId="0" applyNumberFormat="1" applyFont="1" applyFill="1" applyBorder="1" applyAlignment="1">
      <alignment horizontal="left" vertical="top" wrapText="1"/>
    </xf>
    <xf numFmtId="1" fontId="34" fillId="2" borderId="44" xfId="0" applyNumberFormat="1" applyFont="1" applyFill="1" applyBorder="1" applyAlignment="1">
      <alignment horizontal="center" vertical="center" shrinkToFit="1"/>
    </xf>
    <xf numFmtId="1" fontId="34" fillId="2" borderId="50" xfId="0" applyNumberFormat="1" applyFont="1" applyFill="1" applyBorder="1" applyAlignment="1">
      <alignment horizontal="center" vertical="center" shrinkToFit="1"/>
    </xf>
    <xf numFmtId="49" fontId="87" fillId="2" borderId="26" xfId="0" applyNumberFormat="1" applyFont="1" applyFill="1" applyBorder="1" applyAlignment="1">
      <alignment horizontal="left" vertical="center" wrapText="1"/>
    </xf>
    <xf numFmtId="0" fontId="111" fillId="2" borderId="26" xfId="0" applyNumberFormat="1" applyFont="1" applyFill="1" applyBorder="1" applyAlignment="1">
      <alignment horizontal="center" vertical="center"/>
    </xf>
    <xf numFmtId="2" fontId="111" fillId="2" borderId="26" xfId="0" applyNumberFormat="1" applyFont="1" applyFill="1" applyBorder="1" applyAlignment="1">
      <alignment horizontal="center" vertical="center" shrinkToFit="1"/>
    </xf>
    <xf numFmtId="165" fontId="111" fillId="2" borderId="26" xfId="0" applyNumberFormat="1" applyFont="1" applyFill="1" applyBorder="1" applyAlignment="1">
      <alignment horizontal="center" vertical="center"/>
    </xf>
    <xf numFmtId="165" fontId="111" fillId="2" borderId="26" xfId="0" applyNumberFormat="1" applyFont="1" applyFill="1" applyBorder="1" applyAlignment="1">
      <alignment horizontal="center" vertical="center" shrinkToFit="1"/>
    </xf>
    <xf numFmtId="1" fontId="111" fillId="2" borderId="44" xfId="74" applyNumberFormat="1" applyFont="1" applyFill="1" applyBorder="1" applyAlignment="1">
      <alignment horizontal="left" vertical="center"/>
    </xf>
    <xf numFmtId="0" fontId="111" fillId="2" borderId="41" xfId="74" applyFont="1" applyFill="1" applyBorder="1" applyAlignment="1">
      <alignment horizontal="left" vertical="center"/>
    </xf>
    <xf numFmtId="49" fontId="111" fillId="2" borderId="44" xfId="74" applyNumberFormat="1" applyFont="1" applyFill="1" applyBorder="1" applyAlignment="1">
      <alignment horizontal="center" vertical="center" wrapText="1"/>
    </xf>
    <xf numFmtId="49" fontId="111" fillId="2" borderId="41" xfId="74" applyNumberFormat="1" applyFont="1" applyFill="1" applyBorder="1" applyAlignment="1">
      <alignment horizontal="center" vertical="center" wrapText="1"/>
    </xf>
    <xf numFmtId="0" fontId="111" fillId="2" borderId="44" xfId="74" applyFont="1" applyFill="1" applyBorder="1" applyAlignment="1">
      <alignment horizontal="left" vertical="center" wrapText="1"/>
    </xf>
    <xf numFmtId="0" fontId="111" fillId="2" borderId="41" xfId="74" applyFont="1" applyFill="1" applyBorder="1" applyAlignment="1">
      <alignment horizontal="left" vertical="center" wrapText="1"/>
    </xf>
    <xf numFmtId="0" fontId="111" fillId="2" borderId="44" xfId="74" applyFont="1" applyFill="1" applyBorder="1" applyAlignment="1">
      <alignment horizontal="left" vertical="center"/>
    </xf>
    <xf numFmtId="165" fontId="111" fillId="2" borderId="44" xfId="74" applyNumberFormat="1" applyFont="1" applyFill="1" applyBorder="1" applyAlignment="1">
      <alignment horizontal="left" vertical="center"/>
    </xf>
    <xf numFmtId="165" fontId="111" fillId="2" borderId="41" xfId="74" applyNumberFormat="1" applyFont="1" applyFill="1" applyBorder="1" applyAlignment="1">
      <alignment horizontal="left" vertical="center"/>
    </xf>
    <xf numFmtId="2" fontId="111" fillId="2" borderId="26" xfId="283" applyNumberFormat="1" applyFont="1" applyFill="1" applyBorder="1" applyAlignment="1">
      <alignment horizontal="left" vertical="center" wrapText="1" shrinkToFit="1"/>
    </xf>
    <xf numFmtId="2" fontId="111" fillId="2" borderId="26" xfId="283" applyNumberFormat="1" applyFont="1" applyFill="1" applyBorder="1" applyAlignment="1">
      <alignment horizontal="center" vertical="center" wrapText="1" shrinkToFit="1"/>
    </xf>
    <xf numFmtId="165" fontId="111" fillId="2" borderId="26" xfId="283" applyNumberFormat="1" applyFont="1" applyFill="1" applyBorder="1" applyAlignment="1">
      <alignment horizontal="center" vertical="center" wrapText="1" shrinkToFit="1"/>
    </xf>
    <xf numFmtId="169" fontId="111" fillId="2" borderId="26" xfId="283" applyNumberFormat="1" applyFont="1" applyFill="1" applyBorder="1" applyAlignment="1">
      <alignment horizontal="left" vertical="center" wrapText="1" shrinkToFit="1"/>
    </xf>
    <xf numFmtId="0" fontId="34" fillId="2" borderId="61" xfId="6" applyNumberFormat="1" applyFont="1" applyFill="1" applyBorder="1" applyAlignment="1">
      <alignment horizontal="center" vertical="center" shrinkToFit="1"/>
    </xf>
    <xf numFmtId="49" fontId="34" fillId="2" borderId="44" xfId="281" applyNumberFormat="1" applyFont="1" applyFill="1" applyBorder="1" applyAlignment="1">
      <alignment horizontal="center" vertical="center" wrapText="1"/>
    </xf>
    <xf numFmtId="49" fontId="34" fillId="2" borderId="50" xfId="281" applyNumberFormat="1" applyFont="1" applyFill="1" applyBorder="1" applyAlignment="1">
      <alignment horizontal="center" vertical="center" wrapText="1"/>
    </xf>
    <xf numFmtId="0" fontId="34" fillId="2" borderId="44" xfId="281" applyFont="1" applyFill="1" applyBorder="1" applyAlignment="1">
      <alignment horizontal="left" vertical="center" wrapText="1"/>
    </xf>
    <xf numFmtId="0" fontId="34" fillId="2" borderId="50" xfId="281" applyFont="1" applyFill="1" applyBorder="1" applyAlignment="1">
      <alignment horizontal="left" vertical="center" wrapText="1"/>
    </xf>
    <xf numFmtId="0" fontId="33" fillId="2" borderId="44" xfId="281" applyFont="1" applyFill="1" applyBorder="1" applyAlignment="1">
      <alignment horizontal="center" vertical="center" wrapText="1"/>
    </xf>
    <xf numFmtId="0" fontId="33" fillId="2" borderId="50" xfId="281" applyFont="1" applyFill="1" applyBorder="1" applyAlignment="1">
      <alignment horizontal="center" vertical="center" wrapText="1"/>
    </xf>
    <xf numFmtId="2" fontId="34" fillId="2" borderId="44" xfId="74" applyNumberFormat="1" applyFont="1" applyFill="1" applyBorder="1" applyAlignment="1">
      <alignment horizontal="center" vertical="center" wrapText="1"/>
    </xf>
    <xf numFmtId="2" fontId="34" fillId="2" borderId="50" xfId="74" applyNumberFormat="1" applyFont="1" applyFill="1" applyBorder="1" applyAlignment="1">
      <alignment horizontal="center" vertical="center" wrapText="1"/>
    </xf>
    <xf numFmtId="2" fontId="33" fillId="2" borderId="44" xfId="0" applyNumberFormat="1" applyFont="1" applyFill="1" applyBorder="1" applyAlignment="1">
      <alignment horizontal="center" vertical="center" wrapText="1" shrinkToFit="1"/>
    </xf>
    <xf numFmtId="2" fontId="33" fillId="2" borderId="50" xfId="0" applyNumberFormat="1" applyFont="1" applyFill="1" applyBorder="1" applyAlignment="1">
      <alignment horizontal="center" vertical="center" wrapText="1" shrinkToFit="1"/>
    </xf>
    <xf numFmtId="2" fontId="34" fillId="2" borderId="104" xfId="0" applyNumberFormat="1" applyFont="1" applyFill="1" applyBorder="1" applyAlignment="1">
      <alignment horizontal="center" vertical="center" wrapText="1" shrinkToFit="1"/>
    </xf>
    <xf numFmtId="2" fontId="34" fillId="2" borderId="102" xfId="0" applyNumberFormat="1" applyFont="1" applyFill="1" applyBorder="1" applyAlignment="1">
      <alignment horizontal="center" vertical="center" wrapText="1" shrinkToFit="1"/>
    </xf>
    <xf numFmtId="2" fontId="34" fillId="2" borderId="56" xfId="0" applyNumberFormat="1" applyFont="1" applyFill="1" applyBorder="1" applyAlignment="1">
      <alignment horizontal="center" vertical="center" wrapText="1" shrinkToFit="1"/>
    </xf>
    <xf numFmtId="2" fontId="34" fillId="2" borderId="55" xfId="0" applyNumberFormat="1" applyFont="1" applyFill="1" applyBorder="1" applyAlignment="1">
      <alignment horizontal="center" vertical="center" wrapText="1" shrinkToFit="1"/>
    </xf>
    <xf numFmtId="2" fontId="34" fillId="2" borderId="57" xfId="0" applyNumberFormat="1" applyFont="1" applyFill="1" applyBorder="1" applyAlignment="1">
      <alignment horizontal="center" vertical="center" wrapText="1" shrinkToFit="1"/>
    </xf>
    <xf numFmtId="49" fontId="87" fillId="2" borderId="26" xfId="0" applyNumberFormat="1" applyFont="1" applyFill="1" applyBorder="1" applyAlignment="1">
      <alignment horizontal="center" vertical="center" wrapText="1"/>
    </xf>
    <xf numFmtId="2" fontId="111" fillId="2" borderId="58" xfId="0" applyNumberFormat="1" applyFont="1" applyFill="1" applyBorder="1" applyAlignment="1">
      <alignment horizontal="center" vertical="center" shrinkToFit="1"/>
    </xf>
    <xf numFmtId="49" fontId="87" fillId="2" borderId="44" xfId="251" applyNumberFormat="1" applyFont="1" applyFill="1" applyBorder="1" applyAlignment="1">
      <alignment vertical="top" wrapText="1"/>
    </xf>
    <xf numFmtId="49" fontId="87" fillId="2" borderId="50" xfId="251" applyNumberFormat="1" applyFont="1" applyFill="1" applyBorder="1" applyAlignment="1">
      <alignment vertical="top" wrapText="1"/>
    </xf>
    <xf numFmtId="0" fontId="34" fillId="2" borderId="61" xfId="7" applyNumberFormat="1" applyFont="1" applyFill="1" applyBorder="1" applyAlignment="1">
      <alignment horizontal="center" vertical="center" shrinkToFit="1"/>
    </xf>
    <xf numFmtId="0" fontId="34" fillId="2" borderId="40" xfId="7" applyNumberFormat="1" applyFont="1" applyFill="1" applyBorder="1" applyAlignment="1">
      <alignment horizontal="center" vertical="center" shrinkToFit="1"/>
    </xf>
    <xf numFmtId="49" fontId="34" fillId="2" borderId="44" xfId="7" applyNumberFormat="1" applyFont="1" applyFill="1" applyBorder="1" applyAlignment="1">
      <alignment horizontal="center" vertical="center" wrapText="1"/>
    </xf>
    <xf numFmtId="49" fontId="34" fillId="2" borderId="50" xfId="7" applyNumberFormat="1" applyFont="1" applyFill="1" applyBorder="1" applyAlignment="1">
      <alignment horizontal="center" vertical="center" wrapText="1"/>
    </xf>
    <xf numFmtId="49" fontId="34" fillId="2" borderId="44" xfId="7" applyNumberFormat="1" applyFont="1" applyFill="1" applyBorder="1" applyAlignment="1">
      <alignment vertical="center" wrapText="1"/>
    </xf>
    <xf numFmtId="49" fontId="34" fillId="2" borderId="50" xfId="7" applyNumberFormat="1" applyFont="1" applyFill="1" applyBorder="1" applyAlignment="1">
      <alignment vertical="center" wrapText="1"/>
    </xf>
    <xf numFmtId="0" fontId="34" fillId="2" borderId="44" xfId="7" applyNumberFormat="1" applyFont="1" applyFill="1" applyBorder="1" applyAlignment="1">
      <alignment horizontal="center" vertical="center"/>
    </xf>
    <xf numFmtId="0" fontId="34" fillId="2" borderId="50" xfId="7" applyNumberFormat="1" applyFont="1" applyFill="1" applyBorder="1" applyAlignment="1">
      <alignment horizontal="center" vertical="center"/>
    </xf>
    <xf numFmtId="0" fontId="34" fillId="2" borderId="41" xfId="7" applyNumberFormat="1" applyFont="1" applyFill="1" applyBorder="1" applyAlignment="1">
      <alignment horizontal="center" vertical="center"/>
    </xf>
    <xf numFmtId="2" fontId="34" fillId="2" borderId="41" xfId="7" applyNumberFormat="1" applyFont="1" applyFill="1" applyBorder="1" applyAlignment="1">
      <alignment horizontal="center" vertical="center" shrinkToFit="1"/>
    </xf>
    <xf numFmtId="2" fontId="94" fillId="2" borderId="84" xfId="7" applyNumberFormat="1" applyFont="1" applyFill="1" applyBorder="1" applyAlignment="1">
      <alignment horizontal="center" vertical="center" shrinkToFit="1"/>
    </xf>
    <xf numFmtId="2" fontId="94" fillId="2" borderId="85" xfId="7" applyNumberFormat="1" applyFont="1" applyFill="1" applyBorder="1" applyAlignment="1">
      <alignment horizontal="center" vertical="center" shrinkToFit="1"/>
    </xf>
    <xf numFmtId="0" fontId="34" fillId="2" borderId="49" xfId="7" applyNumberFormat="1" applyFont="1" applyFill="1" applyBorder="1" applyAlignment="1">
      <alignment horizontal="center" vertical="center" shrinkToFit="1"/>
    </xf>
    <xf numFmtId="49" fontId="34" fillId="2" borderId="44" xfId="7" applyNumberFormat="1" applyFont="1" applyFill="1" applyBorder="1" applyAlignment="1">
      <alignment vertical="top" wrapText="1"/>
    </xf>
    <xf numFmtId="49" fontId="34" fillId="2" borderId="50" xfId="7" applyNumberFormat="1" applyFont="1" applyFill="1" applyBorder="1" applyAlignment="1">
      <alignment vertical="top" wrapText="1"/>
    </xf>
    <xf numFmtId="168" fontId="46" fillId="2" borderId="44" xfId="0" applyNumberFormat="1" applyFont="1" applyFill="1" applyBorder="1" applyAlignment="1">
      <alignment horizontal="center" vertical="center" shrinkToFit="1"/>
    </xf>
    <xf numFmtId="168" fontId="46" fillId="2" borderId="50" xfId="0" applyNumberFormat="1" applyFont="1" applyFill="1" applyBorder="1" applyAlignment="1">
      <alignment horizontal="center" vertical="center" shrinkToFit="1"/>
    </xf>
    <xf numFmtId="2" fontId="34" fillId="2" borderId="84" xfId="0" applyNumberFormat="1" applyFont="1" applyFill="1" applyBorder="1" applyAlignment="1">
      <alignment horizontal="center" vertical="center" shrinkToFit="1"/>
    </xf>
    <xf numFmtId="2" fontId="34" fillId="2" borderId="85" xfId="0" applyNumberFormat="1" applyFont="1" applyFill="1" applyBorder="1" applyAlignment="1">
      <alignment horizontal="center" vertical="center" shrinkToFit="1"/>
    </xf>
    <xf numFmtId="49" fontId="46" fillId="2" borderId="44" xfId="0" applyNumberFormat="1" applyFont="1" applyFill="1" applyBorder="1" applyAlignment="1">
      <alignment horizontal="left" vertical="center" wrapText="1"/>
    </xf>
    <xf numFmtId="49" fontId="46" fillId="2" borderId="50" xfId="0" applyNumberFormat="1" applyFont="1" applyFill="1" applyBorder="1" applyAlignment="1">
      <alignment horizontal="left" vertical="center" wrapText="1"/>
    </xf>
    <xf numFmtId="0" fontId="111" fillId="2" borderId="26" xfId="69" applyFont="1" applyFill="1" applyBorder="1" applyAlignment="1">
      <alignment horizontal="left" vertical="center" wrapText="1"/>
    </xf>
    <xf numFmtId="0" fontId="111" fillId="2" borderId="26" xfId="69" applyFont="1" applyFill="1" applyBorder="1" applyAlignment="1">
      <alignment horizontal="center" vertical="center"/>
    </xf>
    <xf numFmtId="2" fontId="34" fillId="2" borderId="44" xfId="2" applyNumberFormat="1" applyFont="1" applyFill="1" applyBorder="1" applyAlignment="1">
      <alignment horizontal="center" vertical="center" shrinkToFit="1"/>
    </xf>
    <xf numFmtId="2" fontId="34" fillId="2" borderId="50" xfId="2" applyNumberFormat="1" applyFont="1" applyFill="1" applyBorder="1" applyAlignment="1">
      <alignment horizontal="center" vertical="center" shrinkToFit="1"/>
    </xf>
    <xf numFmtId="2" fontId="34" fillId="2" borderId="60" xfId="143" applyNumberFormat="1" applyFont="1" applyFill="1" applyBorder="1" applyAlignment="1">
      <alignment horizontal="center" vertical="center" shrinkToFit="1"/>
    </xf>
    <xf numFmtId="2" fontId="34" fillId="2" borderId="52" xfId="143" applyNumberFormat="1" applyFont="1" applyFill="1" applyBorder="1" applyAlignment="1">
      <alignment horizontal="center" vertical="center" shrinkToFit="1"/>
    </xf>
    <xf numFmtId="49" fontId="34" fillId="2" borderId="44" xfId="2" applyNumberFormat="1" applyFont="1" applyFill="1" applyBorder="1" applyAlignment="1">
      <alignment vertical="center" wrapText="1"/>
    </xf>
    <xf numFmtId="49" fontId="34" fillId="2" borderId="50" xfId="2" applyNumberFormat="1" applyFont="1" applyFill="1" applyBorder="1" applyAlignment="1">
      <alignment vertical="center" wrapText="1"/>
    </xf>
    <xf numFmtId="0" fontId="34" fillId="2" borderId="44" xfId="2" applyNumberFormat="1" applyFont="1" applyFill="1" applyBorder="1" applyAlignment="1">
      <alignment horizontal="center" vertical="center"/>
    </xf>
    <xf numFmtId="0" fontId="34" fillId="2" borderId="50" xfId="2" applyNumberFormat="1" applyFont="1" applyFill="1" applyBorder="1" applyAlignment="1">
      <alignment horizontal="center" vertical="center"/>
    </xf>
    <xf numFmtId="2" fontId="34" fillId="2" borderId="56" xfId="2" applyNumberFormat="1" applyFont="1" applyFill="1" applyBorder="1" applyAlignment="1">
      <alignment horizontal="center" vertical="center" shrinkToFit="1"/>
    </xf>
    <xf numFmtId="2" fontId="34" fillId="2" borderId="55" xfId="2" applyNumberFormat="1" applyFont="1" applyFill="1" applyBorder="1" applyAlignment="1">
      <alignment horizontal="center" vertical="center" shrinkToFit="1"/>
    </xf>
    <xf numFmtId="2" fontId="34" fillId="2" borderId="57" xfId="2" applyNumberFormat="1" applyFont="1" applyFill="1" applyBorder="1" applyAlignment="1">
      <alignment horizontal="center" vertical="center" shrinkToFit="1"/>
    </xf>
    <xf numFmtId="2" fontId="34" fillId="2" borderId="44" xfId="75" applyNumberFormat="1" applyFont="1" applyFill="1" applyBorder="1" applyAlignment="1">
      <alignment horizontal="center" vertical="center" wrapText="1" shrinkToFit="1"/>
    </xf>
    <xf numFmtId="2" fontId="34" fillId="2" borderId="50" xfId="75" applyNumberFormat="1" applyFont="1" applyFill="1" applyBorder="1" applyAlignment="1">
      <alignment horizontal="center" vertical="center" wrapText="1" shrinkToFit="1"/>
    </xf>
    <xf numFmtId="2" fontId="34" fillId="2" borderId="104" xfId="75" applyNumberFormat="1" applyFont="1" applyFill="1" applyBorder="1" applyAlignment="1">
      <alignment horizontal="center" vertical="center" wrapText="1" shrinkToFit="1"/>
    </xf>
    <xf numFmtId="2" fontId="34" fillId="2" borderId="102" xfId="75" applyNumberFormat="1" applyFont="1" applyFill="1" applyBorder="1" applyAlignment="1">
      <alignment horizontal="center" vertical="center" wrapText="1" shrinkToFit="1"/>
    </xf>
    <xf numFmtId="0" fontId="34" fillId="2" borderId="61" xfId="74" applyFont="1" applyFill="1" applyBorder="1" applyAlignment="1">
      <alignment horizontal="center" vertical="center"/>
    </xf>
    <xf numFmtId="0" fontId="34" fillId="2" borderId="40" xfId="74" applyFont="1" applyFill="1" applyBorder="1" applyAlignment="1">
      <alignment horizontal="center" vertical="center"/>
    </xf>
    <xf numFmtId="49" fontId="34" fillId="2" borderId="44" xfId="74" applyNumberFormat="1" applyFont="1" applyFill="1" applyBorder="1" applyAlignment="1">
      <alignment horizontal="center" vertical="center" wrapText="1"/>
    </xf>
    <xf numFmtId="49" fontId="34" fillId="2" borderId="41" xfId="74" applyNumberFormat="1" applyFont="1" applyFill="1" applyBorder="1" applyAlignment="1">
      <alignment horizontal="center" vertical="center" wrapText="1"/>
    </xf>
    <xf numFmtId="0" fontId="34" fillId="2" borderId="44" xfId="74" applyFont="1" applyFill="1" applyBorder="1" applyAlignment="1">
      <alignment horizontal="left" vertical="center" wrapText="1"/>
    </xf>
    <xf numFmtId="0" fontId="34" fillId="2" borderId="41" xfId="74" applyFont="1" applyFill="1" applyBorder="1" applyAlignment="1">
      <alignment horizontal="left" vertical="center" wrapText="1"/>
    </xf>
    <xf numFmtId="0" fontId="34" fillId="2" borderId="50" xfId="74" applyFont="1" applyFill="1" applyBorder="1" applyAlignment="1">
      <alignment horizontal="left" vertical="center" wrapText="1"/>
    </xf>
    <xf numFmtId="0" fontId="34" fillId="2" borderId="44" xfId="74" applyFont="1" applyFill="1" applyBorder="1" applyAlignment="1">
      <alignment horizontal="center" vertical="center"/>
    </xf>
    <xf numFmtId="0" fontId="34" fillId="2" borderId="41" xfId="74" applyFont="1" applyFill="1" applyBorder="1" applyAlignment="1">
      <alignment horizontal="center" vertical="center"/>
    </xf>
    <xf numFmtId="2" fontId="34" fillId="2" borderId="44" xfId="74" applyNumberFormat="1" applyFont="1" applyFill="1" applyBorder="1" applyAlignment="1">
      <alignment horizontal="center" vertical="center"/>
    </xf>
    <xf numFmtId="2" fontId="34" fillId="2" borderId="41" xfId="74" applyNumberFormat="1" applyFont="1" applyFill="1" applyBorder="1" applyAlignment="1">
      <alignment horizontal="center" vertical="center"/>
    </xf>
    <xf numFmtId="2" fontId="34" fillId="2" borderId="58" xfId="0" applyNumberFormat="1" applyFont="1" applyFill="1" applyBorder="1" applyAlignment="1">
      <alignment horizontal="center" vertical="center" wrapText="1" shrinkToFit="1"/>
    </xf>
    <xf numFmtId="0" fontId="111" fillId="2" borderId="50" xfId="74" applyFont="1" applyFill="1" applyBorder="1" applyAlignment="1">
      <alignment horizontal="left" vertical="center" wrapText="1"/>
    </xf>
    <xf numFmtId="0" fontId="111" fillId="2" borderId="44" xfId="74" applyFont="1" applyFill="1" applyBorder="1" applyAlignment="1">
      <alignment horizontal="center" vertical="center"/>
    </xf>
    <xf numFmtId="0" fontId="111" fillId="2" borderId="41" xfId="74" applyFont="1" applyFill="1" applyBorder="1" applyAlignment="1">
      <alignment horizontal="center" vertical="center"/>
    </xf>
    <xf numFmtId="169" fontId="34" fillId="2" borderId="26" xfId="0" applyNumberFormat="1" applyFont="1" applyFill="1" applyBorder="1" applyAlignment="1">
      <alignment horizontal="center" vertical="center" wrapText="1" shrinkToFit="1"/>
    </xf>
    <xf numFmtId="0" fontId="34" fillId="2" borderId="53" xfId="64" applyFont="1" applyFill="1" applyBorder="1" applyAlignment="1">
      <alignment horizontal="center" vertical="center" wrapText="1"/>
    </xf>
    <xf numFmtId="49" fontId="34" fillId="2" borderId="26" xfId="64" applyNumberFormat="1" applyFont="1" applyFill="1" applyBorder="1" applyAlignment="1">
      <alignment horizontal="center" vertical="center" wrapText="1"/>
    </xf>
    <xf numFmtId="0" fontId="34" fillId="2" borderId="26" xfId="64" applyFont="1" applyFill="1" applyBorder="1" applyAlignment="1">
      <alignment horizontal="center" vertical="center"/>
    </xf>
    <xf numFmtId="165" fontId="33" fillId="2" borderId="26" xfId="64" applyNumberFormat="1" applyFont="1" applyFill="1" applyBorder="1" applyAlignment="1">
      <alignment horizontal="center" vertical="center"/>
    </xf>
    <xf numFmtId="2" fontId="33" fillId="2" borderId="26" xfId="0" applyNumberFormat="1" applyFont="1" applyFill="1" applyBorder="1" applyAlignment="1">
      <alignment horizontal="center" vertical="center" wrapText="1" shrinkToFit="1"/>
    </xf>
    <xf numFmtId="169" fontId="33" fillId="2" borderId="26" xfId="0" applyNumberFormat="1" applyFont="1" applyFill="1" applyBorder="1" applyAlignment="1">
      <alignment horizontal="center" vertical="center" wrapText="1" shrinkToFit="1"/>
    </xf>
    <xf numFmtId="169" fontId="33" fillId="2" borderId="58" xfId="0" applyNumberFormat="1" applyFont="1" applyFill="1" applyBorder="1" applyAlignment="1">
      <alignment horizontal="center" vertical="center" wrapText="1" shrinkToFit="1"/>
    </xf>
    <xf numFmtId="0" fontId="87" fillId="2" borderId="44" xfId="74" applyFont="1" applyFill="1" applyBorder="1" applyAlignment="1">
      <alignment horizontal="left" vertical="center" wrapText="1"/>
    </xf>
    <xf numFmtId="0" fontId="87" fillId="2" borderId="41" xfId="74" applyFont="1" applyFill="1" applyBorder="1" applyAlignment="1">
      <alignment horizontal="left" vertical="center" wrapText="1"/>
    </xf>
    <xf numFmtId="0" fontId="87" fillId="2" borderId="50" xfId="74" applyFont="1" applyFill="1" applyBorder="1" applyAlignment="1">
      <alignment horizontal="left" vertical="center" wrapText="1"/>
    </xf>
    <xf numFmtId="0" fontId="87" fillId="2" borderId="44" xfId="74" applyFont="1" applyFill="1" applyBorder="1" applyAlignment="1">
      <alignment horizontal="center" vertical="center"/>
    </xf>
    <xf numFmtId="0" fontId="87" fillId="2" borderId="41" xfId="74" applyFont="1" applyFill="1" applyBorder="1" applyAlignment="1">
      <alignment horizontal="center" vertical="center"/>
    </xf>
    <xf numFmtId="0" fontId="87" fillId="2" borderId="50" xfId="74" applyFont="1" applyFill="1" applyBorder="1" applyAlignment="1">
      <alignment horizontal="center" vertical="center"/>
    </xf>
    <xf numFmtId="0" fontId="34" fillId="2" borderId="44" xfId="0" applyNumberFormat="1" applyFont="1" applyFill="1" applyBorder="1" applyAlignment="1">
      <alignment horizontal="center" vertical="center" shrinkToFit="1"/>
    </xf>
    <xf numFmtId="0" fontId="34" fillId="2" borderId="50" xfId="0" applyNumberFormat="1" applyFont="1" applyFill="1" applyBorder="1" applyAlignment="1">
      <alignment horizontal="center" vertical="center" shrinkToFit="1"/>
    </xf>
    <xf numFmtId="2" fontId="34" fillId="2" borderId="59" xfId="0" applyNumberFormat="1" applyFont="1" applyFill="1" applyBorder="1" applyAlignment="1">
      <alignment horizontal="center" vertical="center" shrinkToFit="1"/>
    </xf>
    <xf numFmtId="2" fontId="34" fillId="2" borderId="111" xfId="0" applyNumberFormat="1" applyFont="1" applyFill="1" applyBorder="1" applyAlignment="1">
      <alignment horizontal="center" vertical="center" shrinkToFit="1"/>
    </xf>
    <xf numFmtId="2" fontId="34" fillId="2" borderId="60" xfId="0" applyNumberFormat="1" applyFont="1" applyFill="1" applyBorder="1" applyAlignment="1">
      <alignment horizontal="center" vertical="center" shrinkToFit="1"/>
    </xf>
    <xf numFmtId="2" fontId="34" fillId="2" borderId="52" xfId="0" applyNumberFormat="1" applyFont="1" applyFill="1" applyBorder="1" applyAlignment="1">
      <alignment horizontal="center" vertical="center" shrinkToFit="1"/>
    </xf>
    <xf numFmtId="49" fontId="34" fillId="2" borderId="44" xfId="2" applyNumberFormat="1" applyFont="1" applyFill="1" applyBorder="1" applyAlignment="1">
      <alignment horizontal="center" vertical="center" wrapText="1"/>
    </xf>
    <xf numFmtId="49" fontId="34" fillId="2" borderId="50" xfId="2" applyNumberFormat="1" applyFont="1" applyFill="1" applyBorder="1" applyAlignment="1">
      <alignment horizontal="center" vertical="center" wrapText="1"/>
    </xf>
    <xf numFmtId="1" fontId="34" fillId="2" borderId="44" xfId="2" applyNumberFormat="1" applyFont="1" applyFill="1" applyBorder="1" applyAlignment="1">
      <alignment horizontal="center" vertical="center" shrinkToFit="1"/>
    </xf>
    <xf numFmtId="1" fontId="34" fillId="2" borderId="50" xfId="2" applyNumberFormat="1" applyFont="1" applyFill="1" applyBorder="1" applyAlignment="1">
      <alignment horizontal="center" vertical="center" shrinkToFit="1"/>
    </xf>
    <xf numFmtId="1" fontId="33" fillId="2" borderId="26" xfId="69" applyNumberFormat="1" applyFont="1" applyFill="1" applyBorder="1" applyAlignment="1">
      <alignment horizontal="center" vertical="center" wrapText="1"/>
    </xf>
    <xf numFmtId="0" fontId="34" fillId="2" borderId="26" xfId="74" applyFont="1" applyFill="1" applyBorder="1" applyAlignment="1">
      <alignment horizontal="center" vertical="center"/>
    </xf>
    <xf numFmtId="165" fontId="33" fillId="2" borderId="26" xfId="74" applyNumberFormat="1" applyFont="1" applyFill="1" applyBorder="1" applyAlignment="1">
      <alignment horizontal="center" vertical="center"/>
    </xf>
    <xf numFmtId="165" fontId="33" fillId="2" borderId="26" xfId="0" applyNumberFormat="1" applyFont="1" applyFill="1" applyBorder="1" applyAlignment="1">
      <alignment horizontal="center" vertical="center" wrapText="1" shrinkToFit="1"/>
    </xf>
    <xf numFmtId="0" fontId="111" fillId="2" borderId="26" xfId="74" applyFont="1" applyFill="1" applyBorder="1" applyAlignment="1">
      <alignment horizontal="left" vertical="center" wrapText="1"/>
    </xf>
    <xf numFmtId="0" fontId="111" fillId="2" borderId="26" xfId="74" applyFont="1" applyFill="1" applyBorder="1" applyAlignment="1">
      <alignment horizontal="center" vertical="center" wrapText="1"/>
    </xf>
    <xf numFmtId="168" fontId="34" fillId="2" borderId="44" xfId="7" applyNumberFormat="1" applyFont="1" applyFill="1" applyBorder="1" applyAlignment="1">
      <alignment horizontal="center" vertical="center"/>
    </xf>
    <xf numFmtId="168" fontId="34" fillId="2" borderId="50" xfId="7" applyNumberFormat="1" applyFont="1" applyFill="1" applyBorder="1" applyAlignment="1">
      <alignment horizontal="center" vertical="center"/>
    </xf>
    <xf numFmtId="0" fontId="87" fillId="2" borderId="44" xfId="64" applyFont="1" applyFill="1" applyBorder="1" applyAlignment="1">
      <alignment horizontal="left" vertical="center" wrapText="1"/>
    </xf>
    <xf numFmtId="0" fontId="87" fillId="2" borderId="50" xfId="64" applyFont="1" applyFill="1" applyBorder="1" applyAlignment="1">
      <alignment horizontal="left" vertical="center" wrapText="1"/>
    </xf>
    <xf numFmtId="0" fontId="33" fillId="2" borderId="44" xfId="64" applyFont="1" applyFill="1" applyBorder="1" applyAlignment="1">
      <alignment horizontal="center" vertical="center"/>
    </xf>
    <xf numFmtId="0" fontId="33" fillId="2" borderId="50" xfId="64" applyFont="1" applyFill="1" applyBorder="1" applyAlignment="1">
      <alignment horizontal="center" vertical="center"/>
    </xf>
    <xf numFmtId="165" fontId="94" fillId="2" borderId="26" xfId="7" applyNumberFormat="1" applyFont="1" applyFill="1" applyBorder="1" applyAlignment="1">
      <alignment horizontal="center" vertical="center" shrinkToFit="1"/>
    </xf>
    <xf numFmtId="2" fontId="94" fillId="2" borderId="22" xfId="7" applyNumberFormat="1" applyFont="1" applyFill="1" applyBorder="1" applyAlignment="1">
      <alignment horizontal="center" vertical="center" shrinkToFit="1"/>
    </xf>
    <xf numFmtId="0" fontId="99" fillId="2" borderId="26" xfId="64" applyFont="1" applyFill="1" applyBorder="1" applyAlignment="1">
      <alignment horizontal="left" vertical="center" wrapText="1"/>
    </xf>
    <xf numFmtId="0" fontId="120" fillId="2" borderId="26" xfId="71" applyFont="1" applyFill="1" applyBorder="1" applyAlignment="1">
      <alignment horizontal="center" vertical="center"/>
    </xf>
    <xf numFmtId="0" fontId="34" fillId="2" borderId="26" xfId="74" applyNumberFormat="1" applyFont="1" applyFill="1" applyBorder="1" applyAlignment="1">
      <alignment horizontal="left" vertical="center" wrapText="1"/>
    </xf>
    <xf numFmtId="0" fontId="33" fillId="2" borderId="26" xfId="74" applyNumberFormat="1" applyFont="1" applyFill="1" applyBorder="1" applyAlignment="1">
      <alignment horizontal="center" vertical="center"/>
    </xf>
    <xf numFmtId="169" fontId="34" fillId="2" borderId="56" xfId="0" applyNumberFormat="1" applyFont="1" applyFill="1" applyBorder="1" applyAlignment="1">
      <alignment horizontal="center" vertical="center"/>
    </xf>
    <xf numFmtId="169" fontId="34" fillId="2" borderId="55" xfId="0" applyNumberFormat="1" applyFont="1" applyFill="1" applyBorder="1" applyAlignment="1">
      <alignment horizontal="center" vertical="center"/>
    </xf>
    <xf numFmtId="169" fontId="34" fillId="2" borderId="57" xfId="0" applyNumberFormat="1" applyFont="1" applyFill="1" applyBorder="1" applyAlignment="1">
      <alignment horizontal="center" vertical="center"/>
    </xf>
    <xf numFmtId="165" fontId="34" fillId="2" borderId="56" xfId="0" applyNumberFormat="1" applyFont="1" applyFill="1" applyBorder="1" applyAlignment="1">
      <alignment horizontal="center" vertical="center" shrinkToFit="1"/>
    </xf>
    <xf numFmtId="165" fontId="34" fillId="2" borderId="55" xfId="0" applyNumberFormat="1" applyFont="1" applyFill="1" applyBorder="1" applyAlignment="1">
      <alignment horizontal="center" vertical="center" shrinkToFit="1"/>
    </xf>
    <xf numFmtId="165" fontId="34" fillId="2" borderId="57" xfId="0" applyNumberFormat="1" applyFont="1" applyFill="1" applyBorder="1" applyAlignment="1">
      <alignment horizontal="center" vertical="center" shrinkToFit="1"/>
    </xf>
    <xf numFmtId="2" fontId="34" fillId="2" borderId="54" xfId="0" applyNumberFormat="1" applyFont="1" applyFill="1" applyBorder="1" applyAlignment="1">
      <alignment horizontal="center" vertical="center" wrapText="1" shrinkToFit="1"/>
    </xf>
    <xf numFmtId="49" fontId="34" fillId="2" borderId="44" xfId="199" applyNumberFormat="1" applyFont="1" applyFill="1" applyBorder="1" applyAlignment="1">
      <alignment horizontal="left" vertical="center" wrapText="1"/>
    </xf>
    <xf numFmtId="49" fontId="34" fillId="2" borderId="50" xfId="199" applyNumberFormat="1" applyFont="1" applyFill="1" applyBorder="1" applyAlignment="1">
      <alignment horizontal="left" vertical="center" wrapText="1"/>
    </xf>
    <xf numFmtId="168" fontId="34" fillId="2" borderId="44" xfId="0" applyNumberFormat="1" applyFont="1" applyFill="1" applyBorder="1" applyAlignment="1">
      <alignment horizontal="center" vertical="center" shrinkToFit="1"/>
    </xf>
    <xf numFmtId="168" fontId="34" fillId="2" borderId="50" xfId="0" applyNumberFormat="1" applyFont="1" applyFill="1" applyBorder="1" applyAlignment="1">
      <alignment horizontal="center" vertical="center" shrinkToFit="1"/>
    </xf>
    <xf numFmtId="169" fontId="34" fillId="2" borderId="56" xfId="0" applyNumberFormat="1" applyFont="1" applyFill="1" applyBorder="1" applyAlignment="1">
      <alignment horizontal="center" vertical="center" shrinkToFit="1"/>
    </xf>
    <xf numFmtId="169" fontId="34" fillId="2" borderId="55" xfId="0" applyNumberFormat="1" applyFont="1" applyFill="1" applyBorder="1" applyAlignment="1">
      <alignment horizontal="center" vertical="center" shrinkToFit="1"/>
    </xf>
    <xf numFmtId="169" fontId="34" fillId="2" borderId="57" xfId="0" applyNumberFormat="1" applyFont="1" applyFill="1" applyBorder="1" applyAlignment="1">
      <alignment horizontal="center" vertical="center" shrinkToFit="1"/>
    </xf>
    <xf numFmtId="0" fontId="34" fillId="2" borderId="56" xfId="0" applyNumberFormat="1" applyFont="1" applyFill="1" applyBorder="1" applyAlignment="1">
      <alignment horizontal="center" vertical="center" shrinkToFit="1"/>
    </xf>
    <xf numFmtId="0" fontId="34" fillId="2" borderId="55" xfId="0" applyNumberFormat="1" applyFont="1" applyFill="1" applyBorder="1" applyAlignment="1">
      <alignment horizontal="center" vertical="center" shrinkToFit="1"/>
    </xf>
    <xf numFmtId="0" fontId="34" fillId="2" borderId="57" xfId="0" applyNumberFormat="1" applyFont="1" applyFill="1" applyBorder="1" applyAlignment="1">
      <alignment horizontal="center" vertical="center" shrinkToFit="1"/>
    </xf>
    <xf numFmtId="2" fontId="118" fillId="2" borderId="56" xfId="0" applyNumberFormat="1" applyFont="1" applyFill="1" applyBorder="1" applyAlignment="1">
      <alignment horizontal="center" vertical="center" shrinkToFit="1"/>
    </xf>
    <xf numFmtId="2" fontId="118" fillId="2" borderId="55" xfId="0" applyNumberFormat="1" applyFont="1" applyFill="1" applyBorder="1" applyAlignment="1">
      <alignment horizontal="center" vertical="center" shrinkToFit="1"/>
    </xf>
    <xf numFmtId="2" fontId="118" fillId="2" borderId="57" xfId="0" applyNumberFormat="1" applyFont="1" applyFill="1" applyBorder="1" applyAlignment="1">
      <alignment horizontal="center" vertical="center" shrinkToFit="1"/>
    </xf>
    <xf numFmtId="0" fontId="34" fillId="2" borderId="49" xfId="74" applyFont="1" applyFill="1" applyBorder="1" applyAlignment="1">
      <alignment horizontal="center" vertical="center"/>
    </xf>
    <xf numFmtId="49" fontId="34" fillId="2" borderId="50" xfId="74" applyNumberFormat="1" applyFont="1" applyFill="1" applyBorder="1" applyAlignment="1">
      <alignment horizontal="center" vertical="center" wrapText="1"/>
    </xf>
    <xf numFmtId="0" fontId="34" fillId="2" borderId="50" xfId="74" applyFont="1" applyFill="1" applyBorder="1" applyAlignment="1">
      <alignment horizontal="center" vertical="center"/>
    </xf>
    <xf numFmtId="2" fontId="34" fillId="2" borderId="50" xfId="74" applyNumberFormat="1" applyFont="1" applyFill="1" applyBorder="1" applyAlignment="1">
      <alignment horizontal="center" vertical="center"/>
    </xf>
    <xf numFmtId="169" fontId="34" fillId="2" borderId="56" xfId="194" applyNumberFormat="1" applyFont="1" applyFill="1" applyBorder="1" applyAlignment="1">
      <alignment horizontal="center" vertical="center" shrinkToFit="1"/>
    </xf>
    <xf numFmtId="169" fontId="34" fillId="2" borderId="55" xfId="194" applyNumberFormat="1" applyFont="1" applyFill="1" applyBorder="1" applyAlignment="1">
      <alignment horizontal="center" vertical="center" shrinkToFit="1"/>
    </xf>
    <xf numFmtId="169" fontId="34" fillId="2" borderId="57" xfId="194" applyNumberFormat="1" applyFont="1" applyFill="1" applyBorder="1" applyAlignment="1">
      <alignment horizontal="center" vertical="center" shrinkToFit="1"/>
    </xf>
    <xf numFmtId="49" fontId="34" fillId="2" borderId="26" xfId="0" applyNumberFormat="1" applyFont="1" applyFill="1" applyBorder="1" applyAlignment="1">
      <alignment horizontal="center" vertical="center" wrapText="1"/>
    </xf>
    <xf numFmtId="49" fontId="34" fillId="2" borderId="26" xfId="0" applyNumberFormat="1" applyFont="1" applyFill="1" applyBorder="1" applyAlignment="1">
      <alignment horizontal="left" vertical="top" wrapText="1"/>
    </xf>
    <xf numFmtId="2" fontId="34" fillId="2" borderId="44" xfId="193" applyNumberFormat="1" applyFont="1" applyFill="1" applyBorder="1" applyAlignment="1">
      <alignment horizontal="center" vertical="center" shrinkToFit="1"/>
    </xf>
    <xf numFmtId="2" fontId="34" fillId="2" borderId="41" xfId="193" applyNumberFormat="1" applyFont="1" applyFill="1" applyBorder="1" applyAlignment="1">
      <alignment horizontal="center" vertical="center" shrinkToFit="1"/>
    </xf>
    <xf numFmtId="2" fontId="34" fillId="2" borderId="50" xfId="193" applyNumberFormat="1" applyFont="1" applyFill="1" applyBorder="1" applyAlignment="1">
      <alignment horizontal="center" vertical="center" shrinkToFit="1"/>
    </xf>
    <xf numFmtId="2" fontId="34" fillId="2" borderId="84" xfId="193" applyNumberFormat="1" applyFont="1" applyFill="1" applyBorder="1" applyAlignment="1">
      <alignment horizontal="center" vertical="center"/>
    </xf>
    <xf numFmtId="2" fontId="34" fillId="2" borderId="22" xfId="193" applyNumberFormat="1" applyFont="1" applyFill="1" applyBorder="1" applyAlignment="1">
      <alignment horizontal="center" vertical="center"/>
    </xf>
    <xf numFmtId="2" fontId="34" fillId="2" borderId="85" xfId="193" applyNumberFormat="1" applyFont="1" applyFill="1" applyBorder="1" applyAlignment="1">
      <alignment horizontal="center" vertical="center"/>
    </xf>
    <xf numFmtId="2" fontId="34" fillId="2" borderId="51" xfId="0" applyNumberFormat="1" applyFont="1" applyFill="1" applyBorder="1" applyAlignment="1">
      <alignment horizontal="center" vertical="center" shrinkToFit="1"/>
    </xf>
    <xf numFmtId="2" fontId="34" fillId="2" borderId="1" xfId="0" applyNumberFormat="1" applyFont="1" applyFill="1" applyBorder="1" applyAlignment="1">
      <alignment horizontal="center" vertical="center" shrinkToFit="1"/>
    </xf>
    <xf numFmtId="0" fontId="36" fillId="2" borderId="66" xfId="0" applyFont="1" applyFill="1" applyBorder="1" applyAlignment="1">
      <alignment horizontal="center" vertical="center" wrapText="1"/>
    </xf>
    <xf numFmtId="0" fontId="36" fillId="2" borderId="55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85" xfId="0" applyFont="1" applyFill="1" applyBorder="1" applyAlignment="1">
      <alignment horizontal="center" vertical="center" wrapText="1"/>
    </xf>
    <xf numFmtId="0" fontId="33" fillId="2" borderId="44" xfId="276" applyFont="1" applyFill="1" applyBorder="1" applyAlignment="1">
      <alignment horizontal="center" vertical="center"/>
    </xf>
    <xf numFmtId="0" fontId="33" fillId="2" borderId="41" xfId="276" applyFont="1" applyFill="1" applyBorder="1" applyAlignment="1">
      <alignment horizontal="center" vertical="center"/>
    </xf>
    <xf numFmtId="0" fontId="33" fillId="2" borderId="50" xfId="276" applyFont="1" applyFill="1" applyBorder="1" applyAlignment="1">
      <alignment horizontal="center" vertical="center"/>
    </xf>
    <xf numFmtId="0" fontId="33" fillId="2" borderId="44" xfId="276" applyFont="1" applyFill="1" applyBorder="1" applyAlignment="1">
      <alignment horizontal="center" vertical="center" wrapText="1"/>
    </xf>
    <xf numFmtId="0" fontId="33" fillId="2" borderId="41" xfId="276" applyFont="1" applyFill="1" applyBorder="1" applyAlignment="1">
      <alignment horizontal="center" vertical="center" wrapText="1"/>
    </xf>
    <xf numFmtId="0" fontId="34" fillId="2" borderId="44" xfId="276" applyFont="1" applyFill="1" applyBorder="1" applyAlignment="1">
      <alignment horizontal="left" vertical="center" wrapText="1"/>
    </xf>
    <xf numFmtId="0" fontId="34" fillId="2" borderId="41" xfId="276" applyFont="1" applyFill="1" applyBorder="1" applyAlignment="1">
      <alignment horizontal="left" vertical="center" wrapText="1"/>
    </xf>
    <xf numFmtId="168" fontId="33" fillId="2" borderId="44" xfId="276" applyNumberFormat="1" applyFont="1" applyFill="1" applyBorder="1" applyAlignment="1">
      <alignment horizontal="center" vertical="center"/>
    </xf>
    <xf numFmtId="168" fontId="33" fillId="2" borderId="41" xfId="276" applyNumberFormat="1" applyFont="1" applyFill="1" applyBorder="1" applyAlignment="1">
      <alignment horizontal="center" vertical="center"/>
    </xf>
    <xf numFmtId="0" fontId="34" fillId="2" borderId="61" xfId="74" applyFont="1" applyFill="1" applyBorder="1" applyAlignment="1">
      <alignment horizontal="center" vertical="center" wrapText="1"/>
    </xf>
    <xf numFmtId="0" fontId="34" fillId="2" borderId="40" xfId="74" applyFont="1" applyFill="1" applyBorder="1" applyAlignment="1">
      <alignment horizontal="center" vertical="center" wrapText="1"/>
    </xf>
    <xf numFmtId="0" fontId="34" fillId="2" borderId="49" xfId="74" applyFont="1" applyFill="1" applyBorder="1" applyAlignment="1">
      <alignment horizontal="center" vertical="center" wrapText="1"/>
    </xf>
    <xf numFmtId="165" fontId="34" fillId="2" borderId="44" xfId="74" applyNumberFormat="1" applyFont="1" applyFill="1" applyBorder="1" applyAlignment="1">
      <alignment horizontal="center" vertical="center" wrapText="1"/>
    </xf>
    <xf numFmtId="165" fontId="34" fillId="2" borderId="41" xfId="74" applyNumberFormat="1" applyFont="1" applyFill="1" applyBorder="1" applyAlignment="1">
      <alignment horizontal="center" vertical="center" wrapText="1"/>
    </xf>
    <xf numFmtId="165" fontId="34" fillId="2" borderId="50" xfId="74" applyNumberFormat="1" applyFont="1" applyFill="1" applyBorder="1" applyAlignment="1">
      <alignment horizontal="center" vertical="center" wrapText="1"/>
    </xf>
    <xf numFmtId="2" fontId="34" fillId="2" borderId="56" xfId="76" applyNumberFormat="1" applyFont="1" applyFill="1" applyBorder="1" applyAlignment="1">
      <alignment horizontal="center" vertical="center" wrapText="1" shrinkToFit="1"/>
    </xf>
    <xf numFmtId="2" fontId="34" fillId="2" borderId="55" xfId="76" applyNumberFormat="1" applyFont="1" applyFill="1" applyBorder="1" applyAlignment="1">
      <alignment horizontal="center" vertical="center" wrapText="1" shrinkToFit="1"/>
    </xf>
    <xf numFmtId="2" fontId="34" fillId="2" borderId="57" xfId="76" applyNumberFormat="1" applyFont="1" applyFill="1" applyBorder="1" applyAlignment="1">
      <alignment horizontal="center" vertical="center" wrapText="1" shrinkToFit="1"/>
    </xf>
    <xf numFmtId="165" fontId="34" fillId="2" borderId="56" xfId="76" applyNumberFormat="1" applyFont="1" applyFill="1" applyBorder="1" applyAlignment="1">
      <alignment horizontal="center" vertical="center" wrapText="1" shrinkToFit="1"/>
    </xf>
    <xf numFmtId="165" fontId="34" fillId="2" borderId="55" xfId="76" applyNumberFormat="1" applyFont="1" applyFill="1" applyBorder="1" applyAlignment="1">
      <alignment horizontal="center" vertical="center" wrapText="1" shrinkToFit="1"/>
    </xf>
    <xf numFmtId="165" fontId="34" fillId="2" borderId="57" xfId="76" applyNumberFormat="1" applyFont="1" applyFill="1" applyBorder="1" applyAlignment="1">
      <alignment horizontal="center" vertical="center" wrapText="1" shrinkToFit="1"/>
    </xf>
    <xf numFmtId="2" fontId="33" fillId="2" borderId="44" xfId="76" applyNumberFormat="1" applyFont="1" applyFill="1" applyBorder="1" applyAlignment="1">
      <alignment horizontal="center" vertical="center" wrapText="1" shrinkToFit="1"/>
    </xf>
    <xf numFmtId="2" fontId="33" fillId="2" borderId="41" xfId="76" applyNumberFormat="1" applyFont="1" applyFill="1" applyBorder="1" applyAlignment="1">
      <alignment horizontal="center" vertical="center" wrapText="1" shrinkToFit="1"/>
    </xf>
    <xf numFmtId="2" fontId="33" fillId="2" borderId="50" xfId="76" applyNumberFormat="1" applyFont="1" applyFill="1" applyBorder="1" applyAlignment="1">
      <alignment horizontal="center" vertical="center" wrapText="1" shrinkToFit="1"/>
    </xf>
    <xf numFmtId="2" fontId="33" fillId="2" borderId="84" xfId="76" applyNumberFormat="1" applyFont="1" applyFill="1" applyBorder="1" applyAlignment="1">
      <alignment horizontal="center" vertical="center" wrapText="1" shrinkToFit="1"/>
    </xf>
    <xf numFmtId="2" fontId="33" fillId="2" borderId="22" xfId="76" applyNumberFormat="1" applyFont="1" applyFill="1" applyBorder="1" applyAlignment="1">
      <alignment horizontal="center" vertical="center" wrapText="1" shrinkToFit="1"/>
    </xf>
    <xf numFmtId="2" fontId="33" fillId="2" borderId="85" xfId="76" applyNumberFormat="1" applyFont="1" applyFill="1" applyBorder="1" applyAlignment="1">
      <alignment horizontal="center" vertical="center" wrapText="1" shrinkToFit="1"/>
    </xf>
    <xf numFmtId="2" fontId="34" fillId="2" borderId="59" xfId="76" applyNumberFormat="1" applyFont="1" applyFill="1" applyBorder="1" applyAlignment="1">
      <alignment horizontal="center" vertical="center" wrapText="1" shrinkToFit="1"/>
    </xf>
    <xf numFmtId="2" fontId="34" fillId="2" borderId="111" xfId="76" applyNumberFormat="1" applyFont="1" applyFill="1" applyBorder="1" applyAlignment="1">
      <alignment horizontal="center" vertical="center" wrapText="1" shrinkToFit="1"/>
    </xf>
    <xf numFmtId="2" fontId="34" fillId="2" borderId="60" xfId="76" applyNumberFormat="1" applyFont="1" applyFill="1" applyBorder="1" applyAlignment="1">
      <alignment horizontal="center" vertical="center" wrapText="1" shrinkToFit="1"/>
    </xf>
    <xf numFmtId="2" fontId="34" fillId="2" borderId="42" xfId="76" applyNumberFormat="1" applyFont="1" applyFill="1" applyBorder="1" applyAlignment="1">
      <alignment horizontal="center" vertical="center" wrapText="1" shrinkToFit="1"/>
    </xf>
    <xf numFmtId="2" fontId="34" fillId="2" borderId="0" xfId="76" applyNumberFormat="1" applyFont="1" applyFill="1" applyBorder="1" applyAlignment="1">
      <alignment horizontal="center" vertical="center" wrapText="1" shrinkToFit="1"/>
    </xf>
    <xf numFmtId="2" fontId="34" fillId="2" borderId="43" xfId="76" applyNumberFormat="1" applyFont="1" applyFill="1" applyBorder="1" applyAlignment="1">
      <alignment horizontal="center" vertical="center" wrapText="1" shrinkToFit="1"/>
    </xf>
    <xf numFmtId="2" fontId="34" fillId="2" borderId="51" xfId="76" applyNumberFormat="1" applyFont="1" applyFill="1" applyBorder="1" applyAlignment="1">
      <alignment horizontal="center" vertical="center" wrapText="1" shrinkToFit="1"/>
    </xf>
    <xf numFmtId="2" fontId="34" fillId="2" borderId="1" xfId="76" applyNumberFormat="1" applyFont="1" applyFill="1" applyBorder="1" applyAlignment="1">
      <alignment horizontal="center" vertical="center" wrapText="1" shrinkToFit="1"/>
    </xf>
    <xf numFmtId="2" fontId="34" fillId="2" borderId="52" xfId="76" applyNumberFormat="1" applyFont="1" applyFill="1" applyBorder="1" applyAlignment="1">
      <alignment horizontal="center" vertical="center" wrapText="1" shrinkToFit="1"/>
    </xf>
    <xf numFmtId="165" fontId="34" fillId="2" borderId="44" xfId="0" applyNumberFormat="1" applyFont="1" applyFill="1" applyBorder="1" applyAlignment="1">
      <alignment horizontal="center" vertical="center" shrinkToFit="1"/>
    </xf>
    <xf numFmtId="165" fontId="34" fillId="2" borderId="41" xfId="0" applyNumberFormat="1" applyFont="1" applyFill="1" applyBorder="1" applyAlignment="1">
      <alignment horizontal="center" vertical="center" shrinkToFit="1"/>
    </xf>
    <xf numFmtId="165" fontId="34" fillId="2" borderId="50" xfId="0" applyNumberFormat="1" applyFont="1" applyFill="1" applyBorder="1" applyAlignment="1">
      <alignment horizontal="center" vertical="center" shrinkToFit="1"/>
    </xf>
    <xf numFmtId="2" fontId="34" fillId="2" borderId="58" xfId="0" applyNumberFormat="1" applyFont="1" applyFill="1" applyBorder="1" applyAlignment="1">
      <alignment horizontal="center" vertical="center" shrinkToFit="1"/>
    </xf>
    <xf numFmtId="165" fontId="34" fillId="2" borderId="26" xfId="0" applyNumberFormat="1" applyFont="1" applyFill="1" applyBorder="1" applyAlignment="1">
      <alignment horizontal="center" vertical="center" wrapText="1" shrinkToFit="1"/>
    </xf>
    <xf numFmtId="0" fontId="34" fillId="2" borderId="61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2" fontId="94" fillId="2" borderId="59" xfId="0" applyNumberFormat="1" applyFont="1" applyFill="1" applyBorder="1" applyAlignment="1">
      <alignment horizontal="center" vertical="center" shrinkToFit="1"/>
    </xf>
    <xf numFmtId="2" fontId="94" fillId="2" borderId="111" xfId="0" applyNumberFormat="1" applyFont="1" applyFill="1" applyBorder="1" applyAlignment="1">
      <alignment horizontal="center" vertical="center" shrinkToFit="1"/>
    </xf>
    <xf numFmtId="2" fontId="94" fillId="2" borderId="60" xfId="0" applyNumberFormat="1" applyFont="1" applyFill="1" applyBorder="1" applyAlignment="1">
      <alignment horizontal="center" vertical="center" shrinkToFit="1"/>
    </xf>
    <xf numFmtId="2" fontId="94" fillId="2" borderId="59" xfId="0" applyNumberFormat="1" applyFont="1" applyFill="1" applyBorder="1" applyAlignment="1">
      <alignment horizontal="center" vertical="top" shrinkToFit="1"/>
    </xf>
    <xf numFmtId="2" fontId="94" fillId="2" borderId="111" xfId="0" applyNumberFormat="1" applyFont="1" applyFill="1" applyBorder="1" applyAlignment="1">
      <alignment horizontal="center" vertical="top" shrinkToFit="1"/>
    </xf>
    <xf numFmtId="2" fontId="94" fillId="2" borderId="60" xfId="0" applyNumberFormat="1" applyFont="1" applyFill="1" applyBorder="1" applyAlignment="1">
      <alignment horizontal="center" vertical="top" shrinkToFit="1"/>
    </xf>
    <xf numFmtId="2" fontId="94" fillId="2" borderId="51" xfId="0" applyNumberFormat="1" applyFont="1" applyFill="1" applyBorder="1" applyAlignment="1">
      <alignment horizontal="center" vertical="center" shrinkToFit="1"/>
    </xf>
    <xf numFmtId="2" fontId="94" fillId="2" borderId="1" xfId="0" applyNumberFormat="1" applyFont="1" applyFill="1" applyBorder="1" applyAlignment="1">
      <alignment horizontal="center" vertical="center" shrinkToFit="1"/>
    </xf>
    <xf numFmtId="2" fontId="94" fillId="2" borderId="52" xfId="0" applyNumberFormat="1" applyFont="1" applyFill="1" applyBorder="1" applyAlignment="1">
      <alignment horizontal="center" vertical="center" shrinkToFit="1"/>
    </xf>
    <xf numFmtId="2" fontId="94" fillId="2" borderId="51" xfId="0" applyNumberFormat="1" applyFont="1" applyFill="1" applyBorder="1" applyAlignment="1">
      <alignment horizontal="center" vertical="top" shrinkToFit="1"/>
    </xf>
    <xf numFmtId="2" fontId="94" fillId="2" borderId="1" xfId="0" applyNumberFormat="1" applyFont="1" applyFill="1" applyBorder="1" applyAlignment="1">
      <alignment horizontal="center" vertical="top" shrinkToFit="1"/>
    </xf>
    <xf numFmtId="2" fontId="94" fillId="2" borderId="52" xfId="0" applyNumberFormat="1" applyFont="1" applyFill="1" applyBorder="1" applyAlignment="1">
      <alignment horizontal="center" vertical="top" shrinkToFit="1"/>
    </xf>
    <xf numFmtId="49" fontId="34" fillId="2" borderId="41" xfId="0" applyNumberFormat="1" applyFont="1" applyFill="1" applyBorder="1" applyAlignment="1">
      <alignment horizontal="left" vertical="top" wrapText="1"/>
    </xf>
    <xf numFmtId="168" fontId="34" fillId="2" borderId="41" xfId="0" applyNumberFormat="1" applyFont="1" applyFill="1" applyBorder="1" applyAlignment="1">
      <alignment horizontal="center" vertical="center" shrinkToFit="1"/>
    </xf>
    <xf numFmtId="2" fontId="34" fillId="2" borderId="42" xfId="0" applyNumberFormat="1" applyFont="1" applyFill="1" applyBorder="1" applyAlignment="1">
      <alignment horizontal="center" vertical="center" shrinkToFit="1"/>
    </xf>
    <xf numFmtId="2" fontId="34" fillId="2" borderId="0" xfId="0" applyNumberFormat="1" applyFont="1" applyFill="1" applyBorder="1" applyAlignment="1">
      <alignment horizontal="center" vertical="center" shrinkToFit="1"/>
    </xf>
    <xf numFmtId="2" fontId="34" fillId="2" borderId="43" xfId="0" applyNumberFormat="1" applyFont="1" applyFill="1" applyBorder="1" applyAlignment="1">
      <alignment horizontal="center" vertical="center" shrinkToFit="1"/>
    </xf>
    <xf numFmtId="0" fontId="34" fillId="2" borderId="99" xfId="0" applyNumberFormat="1" applyFont="1" applyFill="1" applyBorder="1" applyAlignment="1">
      <alignment horizontal="center" vertical="center" shrinkToFit="1"/>
    </xf>
    <xf numFmtId="0" fontId="34" fillId="2" borderId="96" xfId="0" applyNumberFormat="1" applyFont="1" applyFill="1" applyBorder="1" applyAlignment="1">
      <alignment horizontal="center" vertical="center" shrinkToFit="1"/>
    </xf>
    <xf numFmtId="165" fontId="34" fillId="2" borderId="59" xfId="0" applyNumberFormat="1" applyFont="1" applyFill="1" applyBorder="1" applyAlignment="1">
      <alignment horizontal="center" vertical="center" shrinkToFit="1"/>
    </xf>
    <xf numFmtId="165" fontId="34" fillId="2" borderId="111" xfId="0" applyNumberFormat="1" applyFont="1" applyFill="1" applyBorder="1" applyAlignment="1">
      <alignment horizontal="center" vertical="center" shrinkToFit="1"/>
    </xf>
    <xf numFmtId="165" fontId="34" fillId="2" borderId="60" xfId="0" applyNumberFormat="1" applyFont="1" applyFill="1" applyBorder="1" applyAlignment="1">
      <alignment horizontal="center" vertical="center" shrinkToFit="1"/>
    </xf>
    <xf numFmtId="49" fontId="87" fillId="2" borderId="44" xfId="193" applyNumberFormat="1" applyFont="1" applyFill="1" applyBorder="1" applyAlignment="1">
      <alignment horizontal="left" vertical="top" wrapText="1"/>
    </xf>
    <xf numFmtId="49" fontId="87" fillId="2" borderId="50" xfId="193" applyNumberFormat="1" applyFont="1" applyFill="1" applyBorder="1" applyAlignment="1">
      <alignment horizontal="left" vertical="top" wrapText="1"/>
    </xf>
    <xf numFmtId="0" fontId="87" fillId="2" borderId="44" xfId="193" applyNumberFormat="1" applyFont="1" applyFill="1" applyBorder="1" applyAlignment="1">
      <alignment horizontal="center" vertical="center"/>
    </xf>
    <xf numFmtId="0" fontId="87" fillId="2" borderId="50" xfId="193" applyNumberFormat="1" applyFont="1" applyFill="1" applyBorder="1" applyAlignment="1">
      <alignment horizontal="center" vertical="center"/>
    </xf>
    <xf numFmtId="0" fontId="34" fillId="2" borderId="61" xfId="79" applyNumberFormat="1" applyFont="1" applyFill="1" applyBorder="1" applyAlignment="1">
      <alignment horizontal="center" vertical="center" shrinkToFit="1"/>
    </xf>
    <xf numFmtId="0" fontId="34" fillId="2" borderId="40" xfId="79" applyNumberFormat="1" applyFont="1" applyFill="1" applyBorder="1" applyAlignment="1">
      <alignment horizontal="center" vertical="center" shrinkToFit="1"/>
    </xf>
    <xf numFmtId="49" fontId="34" fillId="2" borderId="41" xfId="7" applyNumberFormat="1" applyFont="1" applyFill="1" applyBorder="1" applyAlignment="1">
      <alignment horizontal="center" vertical="center" wrapText="1"/>
    </xf>
    <xf numFmtId="49" fontId="34" fillId="2" borderId="41" xfId="7" applyNumberFormat="1" applyFont="1" applyFill="1" applyBorder="1" applyAlignment="1">
      <alignment vertical="center" wrapText="1"/>
    </xf>
    <xf numFmtId="168" fontId="34" fillId="2" borderId="26" xfId="7" applyNumberFormat="1" applyFont="1" applyFill="1" applyBorder="1" applyAlignment="1">
      <alignment horizontal="center" vertical="center" shrinkToFit="1"/>
    </xf>
    <xf numFmtId="0" fontId="34" fillId="2" borderId="56" xfId="7" applyNumberFormat="1" applyFont="1" applyFill="1" applyBorder="1" applyAlignment="1">
      <alignment horizontal="center" vertical="center" shrinkToFit="1"/>
    </xf>
    <xf numFmtId="0" fontId="34" fillId="2" borderId="55" xfId="7" applyNumberFormat="1" applyFont="1" applyFill="1" applyBorder="1" applyAlignment="1">
      <alignment horizontal="center" vertical="center" shrinkToFit="1"/>
    </xf>
    <xf numFmtId="0" fontId="34" fillId="2" borderId="57" xfId="7" applyNumberFormat="1" applyFont="1" applyFill="1" applyBorder="1" applyAlignment="1">
      <alignment horizontal="center" vertical="center" shrinkToFit="1"/>
    </xf>
    <xf numFmtId="49" fontId="87" fillId="2" borderId="44" xfId="280" applyNumberFormat="1" applyFont="1" applyFill="1" applyBorder="1" applyAlignment="1">
      <alignment vertical="center" wrapText="1"/>
    </xf>
    <xf numFmtId="49" fontId="87" fillId="2" borderId="50" xfId="280" applyNumberFormat="1" applyFont="1" applyFill="1" applyBorder="1" applyAlignment="1">
      <alignment vertical="center" wrapText="1"/>
    </xf>
    <xf numFmtId="0" fontId="87" fillId="2" borderId="41" xfId="249" applyNumberFormat="1" applyFont="1" applyFill="1" applyBorder="1" applyAlignment="1">
      <alignment horizontal="center" vertical="center"/>
    </xf>
    <xf numFmtId="0" fontId="87" fillId="2" borderId="50" xfId="249" applyNumberFormat="1" applyFont="1" applyFill="1" applyBorder="1" applyAlignment="1">
      <alignment horizontal="center" vertical="center"/>
    </xf>
    <xf numFmtId="2" fontId="118" fillId="2" borderId="26" xfId="7" applyNumberFormat="1" applyFont="1" applyFill="1" applyBorder="1" applyAlignment="1">
      <alignment horizontal="center" vertical="center" shrinkToFit="1"/>
    </xf>
    <xf numFmtId="2" fontId="34" fillId="2" borderId="56" xfId="7" applyNumberFormat="1" applyFont="1" applyFill="1" applyBorder="1" applyAlignment="1">
      <alignment horizontal="center" vertical="center" shrinkToFit="1"/>
    </xf>
    <xf numFmtId="2" fontId="34" fillId="2" borderId="55" xfId="7" applyNumberFormat="1" applyFont="1" applyFill="1" applyBorder="1" applyAlignment="1">
      <alignment horizontal="center" vertical="center" shrinkToFit="1"/>
    </xf>
    <xf numFmtId="2" fontId="34" fillId="2" borderId="57" xfId="7" applyNumberFormat="1" applyFont="1" applyFill="1" applyBorder="1" applyAlignment="1">
      <alignment horizontal="center" vertical="center" shrinkToFit="1"/>
    </xf>
    <xf numFmtId="2" fontId="34" fillId="2" borderId="84" xfId="7" applyNumberFormat="1" applyFont="1" applyFill="1" applyBorder="1" applyAlignment="1">
      <alignment horizontal="center" vertical="center" shrinkToFit="1"/>
    </xf>
    <xf numFmtId="2" fontId="34" fillId="2" borderId="85" xfId="7" applyNumberFormat="1" applyFont="1" applyFill="1" applyBorder="1" applyAlignment="1">
      <alignment horizontal="center" vertical="center" shrinkToFit="1"/>
    </xf>
    <xf numFmtId="165" fontId="34" fillId="2" borderId="56" xfId="7" applyNumberFormat="1" applyFont="1" applyFill="1" applyBorder="1" applyAlignment="1">
      <alignment horizontal="center" vertical="center" shrinkToFit="1"/>
    </xf>
    <xf numFmtId="165" fontId="34" fillId="2" borderId="55" xfId="7" applyNumberFormat="1" applyFont="1" applyFill="1" applyBorder="1" applyAlignment="1">
      <alignment horizontal="center" vertical="center" shrinkToFit="1"/>
    </xf>
    <xf numFmtId="165" fontId="34" fillId="2" borderId="57" xfId="7" applyNumberFormat="1" applyFont="1" applyFill="1" applyBorder="1" applyAlignment="1">
      <alignment horizontal="center" vertical="center" shrinkToFit="1"/>
    </xf>
    <xf numFmtId="168" fontId="34" fillId="2" borderId="44" xfId="79" applyNumberFormat="1" applyFont="1" applyFill="1" applyBorder="1" applyAlignment="1">
      <alignment horizontal="center" vertical="center" shrinkToFit="1"/>
    </xf>
    <xf numFmtId="168" fontId="34" fillId="2" borderId="50" xfId="79" applyNumberFormat="1" applyFont="1" applyFill="1" applyBorder="1" applyAlignment="1">
      <alignment horizontal="center" vertical="center" shrinkToFit="1"/>
    </xf>
    <xf numFmtId="165" fontId="94" fillId="2" borderId="56" xfId="7" applyNumberFormat="1" applyFont="1" applyFill="1" applyBorder="1" applyAlignment="1">
      <alignment horizontal="center" vertical="center" shrinkToFit="1"/>
    </xf>
    <xf numFmtId="165" fontId="94" fillId="2" borderId="55" xfId="7" applyNumberFormat="1" applyFont="1" applyFill="1" applyBorder="1" applyAlignment="1">
      <alignment horizontal="center" vertical="center" shrinkToFit="1"/>
    </xf>
    <xf numFmtId="165" fontId="94" fillId="2" borderId="57" xfId="7" applyNumberFormat="1" applyFont="1" applyFill="1" applyBorder="1" applyAlignment="1">
      <alignment horizontal="center" vertical="center" shrinkToFit="1"/>
    </xf>
    <xf numFmtId="49" fontId="87" fillId="2" borderId="44" xfId="251" applyNumberFormat="1" applyFont="1" applyFill="1" applyBorder="1" applyAlignment="1">
      <alignment vertical="center" wrapText="1"/>
    </xf>
    <xf numFmtId="49" fontId="87" fillId="2" borderId="50" xfId="251" applyNumberFormat="1" applyFont="1" applyFill="1" applyBorder="1" applyAlignment="1">
      <alignment vertical="center" wrapText="1"/>
    </xf>
    <xf numFmtId="0" fontId="87" fillId="2" borderId="53" xfId="64" applyFont="1" applyFill="1" applyBorder="1" applyAlignment="1">
      <alignment horizontal="center" vertical="center" wrapText="1"/>
    </xf>
    <xf numFmtId="49" fontId="87" fillId="2" borderId="26" xfId="193" applyNumberFormat="1" applyFont="1" applyFill="1" applyBorder="1" applyAlignment="1">
      <alignment horizontal="center" vertical="center" wrapText="1"/>
    </xf>
    <xf numFmtId="49" fontId="87" fillId="2" borderId="26" xfId="193" applyNumberFormat="1" applyFont="1" applyFill="1" applyBorder="1" applyAlignment="1">
      <alignment horizontal="left" vertical="center" wrapText="1"/>
    </xf>
    <xf numFmtId="0" fontId="87" fillId="2" borderId="41" xfId="193" applyNumberFormat="1" applyFont="1" applyFill="1" applyBorder="1" applyAlignment="1">
      <alignment horizontal="center" vertical="center"/>
    </xf>
    <xf numFmtId="2" fontId="87" fillId="2" borderId="44" xfId="193" applyNumberFormat="1" applyFont="1" applyFill="1" applyBorder="1" applyAlignment="1">
      <alignment horizontal="center" vertical="center" shrinkToFit="1"/>
    </xf>
    <xf numFmtId="2" fontId="87" fillId="2" borderId="41" xfId="193" applyNumberFormat="1" applyFont="1" applyFill="1" applyBorder="1" applyAlignment="1">
      <alignment horizontal="center" vertical="center" shrinkToFit="1"/>
    </xf>
    <xf numFmtId="2" fontId="87" fillId="2" borderId="50" xfId="193" applyNumberFormat="1" applyFont="1" applyFill="1" applyBorder="1" applyAlignment="1">
      <alignment horizontal="center" vertical="center" shrinkToFit="1"/>
    </xf>
    <xf numFmtId="0" fontId="87" fillId="2" borderId="56" xfId="193" applyNumberFormat="1" applyFont="1" applyFill="1" applyBorder="1" applyAlignment="1">
      <alignment horizontal="center" vertical="center" shrinkToFit="1"/>
    </xf>
    <xf numFmtId="0" fontId="87" fillId="2" borderId="55" xfId="193" applyNumberFormat="1" applyFont="1" applyFill="1" applyBorder="1" applyAlignment="1">
      <alignment horizontal="center" vertical="center" shrinkToFit="1"/>
    </xf>
    <xf numFmtId="0" fontId="87" fillId="2" borderId="57" xfId="193" applyNumberFormat="1" applyFont="1" applyFill="1" applyBorder="1" applyAlignment="1">
      <alignment horizontal="center" vertical="center" shrinkToFit="1"/>
    </xf>
    <xf numFmtId="2" fontId="87" fillId="2" borderId="84" xfId="193" applyNumberFormat="1" applyFont="1" applyFill="1" applyBorder="1" applyAlignment="1">
      <alignment horizontal="center" vertical="center"/>
    </xf>
    <xf numFmtId="2" fontId="87" fillId="2" borderId="22" xfId="193" applyNumberFormat="1" applyFont="1" applyFill="1" applyBorder="1" applyAlignment="1">
      <alignment horizontal="center" vertical="center"/>
    </xf>
    <xf numFmtId="2" fontId="87" fillId="2" borderId="85" xfId="193" applyNumberFormat="1" applyFont="1" applyFill="1" applyBorder="1" applyAlignment="1">
      <alignment horizontal="center" vertical="center"/>
    </xf>
    <xf numFmtId="165" fontId="87" fillId="2" borderId="59" xfId="193" applyNumberFormat="1" applyFont="1" applyFill="1" applyBorder="1" applyAlignment="1">
      <alignment horizontal="center" vertical="center" shrinkToFit="1"/>
    </xf>
    <xf numFmtId="165" fontId="87" fillId="2" borderId="111" xfId="193" applyNumberFormat="1" applyFont="1" applyFill="1" applyBorder="1" applyAlignment="1">
      <alignment horizontal="center" vertical="center" shrinkToFit="1"/>
    </xf>
    <xf numFmtId="165" fontId="87" fillId="2" borderId="60" xfId="193" applyNumberFormat="1" applyFont="1" applyFill="1" applyBorder="1" applyAlignment="1">
      <alignment horizontal="center" vertical="center" shrinkToFit="1"/>
    </xf>
    <xf numFmtId="165" fontId="87" fillId="2" borderId="51" xfId="193" applyNumberFormat="1" applyFont="1" applyFill="1" applyBorder="1" applyAlignment="1">
      <alignment horizontal="center" vertical="center" shrinkToFit="1"/>
    </xf>
    <xf numFmtId="165" fontId="87" fillId="2" borderId="1" xfId="193" applyNumberFormat="1" applyFont="1" applyFill="1" applyBorder="1" applyAlignment="1">
      <alignment horizontal="center" vertical="center" shrinkToFit="1"/>
    </xf>
    <xf numFmtId="165" fontId="87" fillId="2" borderId="52" xfId="193" applyNumberFormat="1" applyFont="1" applyFill="1" applyBorder="1" applyAlignment="1">
      <alignment horizontal="center" vertical="center" shrinkToFit="1"/>
    </xf>
    <xf numFmtId="165" fontId="33" fillId="2" borderId="26" xfId="284" applyNumberFormat="1" applyFont="1" applyFill="1" applyBorder="1" applyAlignment="1">
      <alignment horizontal="center" vertical="center" wrapText="1" shrinkToFit="1"/>
    </xf>
    <xf numFmtId="169" fontId="33" fillId="2" borderId="26" xfId="284" applyNumberFormat="1" applyFont="1" applyFill="1" applyBorder="1" applyAlignment="1">
      <alignment horizontal="center" vertical="center" wrapText="1" shrinkToFit="1"/>
    </xf>
    <xf numFmtId="1" fontId="34" fillId="2" borderId="61" xfId="74" applyNumberFormat="1" applyFont="1" applyFill="1" applyBorder="1" applyAlignment="1">
      <alignment horizontal="center" vertical="center"/>
    </xf>
    <xf numFmtId="0" fontId="34" fillId="2" borderId="61" xfId="159" applyFont="1" applyFill="1" applyBorder="1" applyAlignment="1">
      <alignment horizontal="center" vertical="center" wrapText="1"/>
    </xf>
    <xf numFmtId="0" fontId="34" fillId="2" borderId="49" xfId="159" applyFont="1" applyFill="1" applyBorder="1" applyAlignment="1">
      <alignment horizontal="center" vertical="center" wrapText="1"/>
    </xf>
    <xf numFmtId="49" fontId="33" fillId="2" borderId="44" xfId="0" applyNumberFormat="1" applyFont="1" applyFill="1" applyBorder="1" applyAlignment="1">
      <alignment horizontal="center" vertical="center" wrapText="1"/>
    </xf>
    <xf numFmtId="49" fontId="33" fillId="2" borderId="50" xfId="0" applyNumberFormat="1" applyFont="1" applyFill="1" applyBorder="1" applyAlignment="1">
      <alignment horizontal="center" vertical="center" wrapText="1"/>
    </xf>
    <xf numFmtId="49" fontId="34" fillId="2" borderId="44" xfId="159" applyNumberFormat="1" applyFont="1" applyFill="1" applyBorder="1" applyAlignment="1">
      <alignment horizontal="left" vertical="center" wrapText="1"/>
    </xf>
    <xf numFmtId="49" fontId="34" fillId="2" borderId="50" xfId="159" applyNumberFormat="1" applyFont="1" applyFill="1" applyBorder="1" applyAlignment="1">
      <alignment horizontal="left" vertical="center" wrapText="1"/>
    </xf>
    <xf numFmtId="0" fontId="34" fillId="2" borderId="44" xfId="159" applyNumberFormat="1" applyFont="1" applyFill="1" applyBorder="1" applyAlignment="1">
      <alignment horizontal="center" vertical="center"/>
    </xf>
    <xf numFmtId="0" fontId="34" fillId="2" borderId="50" xfId="159" applyNumberFormat="1" applyFont="1" applyFill="1" applyBorder="1" applyAlignment="1">
      <alignment horizontal="center" vertical="center"/>
    </xf>
    <xf numFmtId="168" fontId="34" fillId="2" borderId="44" xfId="159" applyNumberFormat="1" applyFont="1" applyFill="1" applyBorder="1" applyAlignment="1">
      <alignment horizontal="center" vertical="center" shrinkToFit="1"/>
    </xf>
    <xf numFmtId="168" fontId="34" fillId="2" borderId="50" xfId="159" applyNumberFormat="1" applyFont="1" applyFill="1" applyBorder="1" applyAlignment="1">
      <alignment horizontal="center" vertical="center" shrinkToFit="1"/>
    </xf>
    <xf numFmtId="165" fontId="33" fillId="2" borderId="26" xfId="0" applyNumberFormat="1" applyFont="1" applyFill="1" applyBorder="1" applyAlignment="1">
      <alignment horizontal="center" vertical="center"/>
    </xf>
    <xf numFmtId="165" fontId="33" fillId="2" borderId="26" xfId="0" applyNumberFormat="1" applyFont="1" applyFill="1" applyBorder="1" applyAlignment="1">
      <alignment horizontal="center" vertical="center" shrinkToFit="1"/>
    </xf>
    <xf numFmtId="2" fontId="33" fillId="2" borderId="26" xfId="0" applyNumberFormat="1" applyFont="1" applyFill="1" applyBorder="1" applyAlignment="1">
      <alignment horizontal="center" vertical="center" shrinkToFit="1"/>
    </xf>
    <xf numFmtId="2" fontId="33" fillId="2" borderId="58" xfId="0" applyNumberFormat="1" applyFont="1" applyFill="1" applyBorder="1" applyAlignment="1">
      <alignment horizontal="center" vertical="center" shrinkToFit="1"/>
    </xf>
    <xf numFmtId="2" fontId="51" fillId="2" borderId="29" xfId="2" applyNumberFormat="1" applyFont="1" applyFill="1" applyBorder="1" applyAlignment="1">
      <alignment horizontal="center" vertical="center" textRotation="90" wrapText="1"/>
    </xf>
    <xf numFmtId="2" fontId="51" fillId="2" borderId="22" xfId="2" applyNumberFormat="1" applyFont="1" applyFill="1" applyBorder="1" applyAlignment="1">
      <alignment horizontal="center" vertical="center" textRotation="90" wrapText="1"/>
    </xf>
    <xf numFmtId="0" fontId="33" fillId="2" borderId="31" xfId="2" applyFont="1" applyFill="1" applyBorder="1" applyAlignment="1">
      <alignment horizontal="center" vertical="center" textRotation="90" wrapText="1"/>
    </xf>
    <xf numFmtId="0" fontId="33" fillId="2" borderId="41" xfId="2" applyFont="1" applyFill="1" applyBorder="1" applyAlignment="1">
      <alignment horizontal="center" vertical="center" textRotation="90" wrapText="1"/>
    </xf>
    <xf numFmtId="0" fontId="33" fillId="2" borderId="50" xfId="2" applyFont="1" applyFill="1" applyBorder="1" applyAlignment="1">
      <alignment horizontal="center" vertical="center" textRotation="90" wrapText="1"/>
    </xf>
    <xf numFmtId="0" fontId="51" fillId="2" borderId="31" xfId="2" applyFont="1" applyFill="1" applyBorder="1" applyAlignment="1">
      <alignment horizontal="center" vertical="center" textRotation="90" wrapText="1"/>
    </xf>
    <xf numFmtId="0" fontId="51" fillId="2" borderId="41" xfId="2" applyFont="1" applyFill="1" applyBorder="1" applyAlignment="1">
      <alignment horizontal="center" vertical="center" textRotation="90" wrapText="1"/>
    </xf>
    <xf numFmtId="0" fontId="51" fillId="2" borderId="50" xfId="2" applyFont="1" applyFill="1" applyBorder="1" applyAlignment="1">
      <alignment horizontal="center" vertical="center" textRotation="90" wrapText="1"/>
    </xf>
    <xf numFmtId="0" fontId="33" fillId="2" borderId="44" xfId="2" applyFont="1" applyFill="1" applyBorder="1" applyAlignment="1">
      <alignment horizontal="center" vertical="center" textRotation="90" wrapText="1"/>
    </xf>
    <xf numFmtId="0" fontId="33" fillId="2" borderId="32" xfId="2" applyFont="1" applyFill="1" applyBorder="1" applyAlignment="1">
      <alignment horizontal="center" vertical="center" textRotation="90" wrapText="1"/>
    </xf>
    <xf numFmtId="0" fontId="33" fillId="2" borderId="28" xfId="2" applyFont="1" applyFill="1" applyBorder="1" applyAlignment="1">
      <alignment horizontal="center" vertical="center" textRotation="90" wrapText="1"/>
    </xf>
    <xf numFmtId="0" fontId="33" fillId="2" borderId="33" xfId="2" applyFont="1" applyFill="1" applyBorder="1" applyAlignment="1">
      <alignment horizontal="center" vertical="center" textRotation="90" wrapText="1"/>
    </xf>
    <xf numFmtId="0" fontId="33" fillId="2" borderId="42" xfId="2" applyFont="1" applyFill="1" applyBorder="1" applyAlignment="1">
      <alignment horizontal="center" vertical="center" textRotation="90" wrapText="1"/>
    </xf>
    <xf numFmtId="0" fontId="33" fillId="2" borderId="0" xfId="2" applyFont="1" applyFill="1" applyBorder="1" applyAlignment="1">
      <alignment horizontal="center" vertical="center" textRotation="90" wrapText="1"/>
    </xf>
    <xf numFmtId="0" fontId="33" fillId="2" borderId="43" xfId="2" applyFont="1" applyFill="1" applyBorder="1" applyAlignment="1">
      <alignment horizontal="center" vertical="center" textRotation="90" wrapText="1"/>
    </xf>
    <xf numFmtId="0" fontId="33" fillId="2" borderId="51" xfId="2" applyFont="1" applyFill="1" applyBorder="1" applyAlignment="1">
      <alignment horizontal="center" vertical="center" textRotation="90" wrapText="1"/>
    </xf>
    <xf numFmtId="0" fontId="33" fillId="2" borderId="1" xfId="2" applyFont="1" applyFill="1" applyBorder="1" applyAlignment="1">
      <alignment horizontal="center" vertical="center" textRotation="90" wrapText="1"/>
    </xf>
    <xf numFmtId="0" fontId="33" fillId="2" borderId="52" xfId="2" applyFont="1" applyFill="1" applyBorder="1" applyAlignment="1">
      <alignment horizontal="center" vertical="center" textRotation="90" wrapText="1"/>
    </xf>
    <xf numFmtId="0" fontId="53" fillId="2" borderId="34" xfId="2" applyFont="1" applyFill="1" applyBorder="1" applyAlignment="1">
      <alignment horizontal="center" vertical="center" wrapText="1"/>
    </xf>
    <xf numFmtId="0" fontId="53" fillId="2" borderId="35" xfId="2" applyFont="1" applyFill="1" applyBorder="1" applyAlignment="1">
      <alignment horizontal="center" vertical="center" wrapText="1"/>
    </xf>
    <xf numFmtId="0" fontId="53" fillId="2" borderId="36" xfId="2" applyFont="1" applyFill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textRotation="90"/>
    </xf>
    <xf numFmtId="0" fontId="33" fillId="2" borderId="41" xfId="2" applyFont="1" applyFill="1" applyBorder="1" applyAlignment="1">
      <alignment horizontal="left" vertical="center" textRotation="90"/>
    </xf>
    <xf numFmtId="0" fontId="33" fillId="2" borderId="50" xfId="2" applyFont="1" applyFill="1" applyBorder="1" applyAlignment="1">
      <alignment horizontal="left" vertical="center" textRotation="90"/>
    </xf>
    <xf numFmtId="0" fontId="53" fillId="2" borderId="56" xfId="2" applyFont="1" applyFill="1" applyBorder="1" applyAlignment="1">
      <alignment horizontal="center" vertical="center" wrapText="1"/>
    </xf>
    <xf numFmtId="0" fontId="41" fillId="2" borderId="55" xfId="2" applyFont="1" applyFill="1" applyBorder="1" applyAlignment="1">
      <alignment horizontal="center" vertical="center"/>
    </xf>
    <xf numFmtId="0" fontId="41" fillId="2" borderId="57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right"/>
    </xf>
    <xf numFmtId="0" fontId="32" fillId="2" borderId="0" xfId="2" applyNumberFormat="1" applyFont="1" applyFill="1" applyBorder="1" applyAlignment="1">
      <alignment horizontal="center" vertical="center" wrapText="1"/>
    </xf>
    <xf numFmtId="0" fontId="43" fillId="2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left"/>
    </xf>
    <xf numFmtId="2" fontId="44" fillId="2" borderId="0" xfId="2" applyNumberFormat="1" applyFont="1" applyFill="1" applyBorder="1" applyAlignment="1">
      <alignment horizontal="center" vertical="center" shrinkToFit="1"/>
    </xf>
    <xf numFmtId="14" fontId="31" fillId="2" borderId="0" xfId="2" applyNumberFormat="1" applyFont="1" applyFill="1" applyBorder="1" applyAlignment="1">
      <alignment horizontal="center" vertical="center"/>
    </xf>
    <xf numFmtId="2" fontId="60" fillId="2" borderId="0" xfId="2" applyNumberFormat="1" applyFont="1" applyFill="1" applyBorder="1" applyAlignment="1">
      <alignment horizontal="center" vertical="top"/>
    </xf>
    <xf numFmtId="0" fontId="53" fillId="2" borderId="55" xfId="2" applyFont="1" applyFill="1" applyBorder="1" applyAlignment="1">
      <alignment horizontal="center" vertical="center" wrapText="1"/>
    </xf>
    <xf numFmtId="0" fontId="53" fillId="2" borderId="57" xfId="2" applyFont="1" applyFill="1" applyBorder="1" applyAlignment="1">
      <alignment horizontal="center" vertical="center" wrapText="1"/>
    </xf>
    <xf numFmtId="0" fontId="47" fillId="2" borderId="0" xfId="2" applyFont="1" applyFill="1" applyAlignment="1">
      <alignment horizontal="center" shrinkToFit="1"/>
    </xf>
    <xf numFmtId="169" fontId="47" fillId="2" borderId="0" xfId="2" applyNumberFormat="1" applyFont="1" applyFill="1" applyBorder="1" applyAlignment="1">
      <alignment horizontal="center" vertical="center"/>
    </xf>
    <xf numFmtId="0" fontId="47" fillId="2" borderId="0" xfId="2" applyFont="1" applyFill="1" applyBorder="1" applyAlignment="1">
      <alignment horizontal="center" wrapText="1"/>
    </xf>
    <xf numFmtId="0" fontId="47" fillId="2" borderId="0" xfId="2" applyFont="1" applyFill="1" applyBorder="1" applyAlignment="1">
      <alignment horizontal="center"/>
    </xf>
    <xf numFmtId="0" fontId="45" fillId="2" borderId="0" xfId="2" applyFont="1" applyFill="1" applyBorder="1" applyAlignment="1">
      <alignment horizontal="center" vertical="center"/>
    </xf>
    <xf numFmtId="2" fontId="47" fillId="2" borderId="0" xfId="2" applyNumberFormat="1" applyFont="1" applyFill="1" applyAlignment="1">
      <alignment horizontal="left" vertical="center" shrinkToFit="1"/>
    </xf>
    <xf numFmtId="0" fontId="46" fillId="2" borderId="30" xfId="2" applyFont="1" applyFill="1" applyBorder="1" applyAlignment="1">
      <alignment horizontal="left" vertical="center" wrapText="1"/>
    </xf>
    <xf numFmtId="0" fontId="46" fillId="2" borderId="40" xfId="2" applyFont="1" applyFill="1" applyBorder="1" applyAlignment="1">
      <alignment horizontal="left" vertical="center" wrapText="1"/>
    </xf>
    <xf numFmtId="0" fontId="46" fillId="2" borderId="49" xfId="2" applyFont="1" applyFill="1" applyBorder="1" applyAlignment="1">
      <alignment horizontal="left" vertical="center" wrapText="1"/>
    </xf>
    <xf numFmtId="0" fontId="35" fillId="2" borderId="2" xfId="2" applyFont="1" applyFill="1" applyBorder="1" applyAlignment="1">
      <alignment horizontal="center" vertical="center"/>
    </xf>
    <xf numFmtId="0" fontId="46" fillId="2" borderId="31" xfId="2" applyFont="1" applyFill="1" applyBorder="1" applyAlignment="1">
      <alignment horizontal="center" vertical="center" textRotation="90" wrapText="1"/>
    </xf>
    <xf numFmtId="0" fontId="46" fillId="2" borderId="41" xfId="2" applyFont="1" applyFill="1" applyBorder="1" applyAlignment="1">
      <alignment horizontal="center" vertical="center" textRotation="90" wrapText="1"/>
    </xf>
    <xf numFmtId="0" fontId="46" fillId="2" borderId="50" xfId="2" applyFont="1" applyFill="1" applyBorder="1" applyAlignment="1">
      <alignment horizontal="center" vertical="center" textRotation="90" wrapText="1"/>
    </xf>
    <xf numFmtId="0" fontId="46" fillId="2" borderId="31" xfId="2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50" xfId="0" applyFont="1" applyFill="1" applyBorder="1" applyAlignment="1">
      <alignment horizontal="center"/>
    </xf>
    <xf numFmtId="0" fontId="84" fillId="2" borderId="28" xfId="2" applyFont="1" applyFill="1" applyBorder="1" applyAlignment="1">
      <alignment horizontal="center" vertical="center"/>
    </xf>
    <xf numFmtId="0" fontId="84" fillId="2" borderId="33" xfId="2" applyFont="1" applyFill="1" applyBorder="1" applyAlignment="1">
      <alignment horizontal="center" vertical="center"/>
    </xf>
    <xf numFmtId="0" fontId="84" fillId="2" borderId="42" xfId="2" applyFont="1" applyFill="1" applyBorder="1" applyAlignment="1">
      <alignment horizontal="center" vertical="center"/>
    </xf>
    <xf numFmtId="0" fontId="84" fillId="2" borderId="0" xfId="2" applyFont="1" applyFill="1" applyBorder="1" applyAlignment="1">
      <alignment horizontal="center" vertical="center"/>
    </xf>
    <xf numFmtId="0" fontId="84" fillId="2" borderId="43" xfId="2" applyFont="1" applyFill="1" applyBorder="1" applyAlignment="1">
      <alignment horizontal="center" vertical="center"/>
    </xf>
    <xf numFmtId="0" fontId="84" fillId="2" borderId="51" xfId="2" applyFont="1" applyFill="1" applyBorder="1" applyAlignment="1">
      <alignment horizontal="center" vertical="center"/>
    </xf>
    <xf numFmtId="0" fontId="84" fillId="2" borderId="1" xfId="2" applyFont="1" applyFill="1" applyBorder="1" applyAlignment="1">
      <alignment horizontal="center" vertical="center"/>
    </xf>
    <xf numFmtId="0" fontId="84" fillId="2" borderId="52" xfId="2" applyFont="1" applyFill="1" applyBorder="1" applyAlignment="1">
      <alignment horizontal="center" vertical="center"/>
    </xf>
    <xf numFmtId="2" fontId="47" fillId="2" borderId="0" xfId="2" applyNumberFormat="1" applyFont="1" applyFill="1" applyAlignment="1">
      <alignment horizontal="center" vertical="center" shrinkToFit="1"/>
    </xf>
    <xf numFmtId="0" fontId="48" fillId="2" borderId="0" xfId="2" applyFont="1" applyFill="1" applyAlignment="1">
      <alignment horizontal="center" vertical="center" shrinkToFit="1"/>
    </xf>
    <xf numFmtId="165" fontId="34" fillId="2" borderId="26" xfId="7" applyNumberFormat="1" applyFont="1" applyFill="1" applyBorder="1" applyAlignment="1">
      <alignment vertical="center" shrinkToFit="1"/>
    </xf>
    <xf numFmtId="165" fontId="34" fillId="2" borderId="56" xfId="0" applyNumberFormat="1" applyFont="1" applyFill="1" applyBorder="1" applyAlignment="1">
      <alignment horizontal="center" vertical="center" wrapText="1" shrinkToFit="1"/>
    </xf>
    <xf numFmtId="165" fontId="34" fillId="2" borderId="55" xfId="0" applyNumberFormat="1" applyFont="1" applyFill="1" applyBorder="1" applyAlignment="1">
      <alignment horizontal="center" vertical="center" wrapText="1" shrinkToFit="1"/>
    </xf>
    <xf numFmtId="165" fontId="34" fillId="2" borderId="57" xfId="0" applyNumberFormat="1" applyFont="1" applyFill="1" applyBorder="1" applyAlignment="1">
      <alignment horizontal="center" vertical="center" wrapText="1" shrinkToFit="1"/>
    </xf>
    <xf numFmtId="2" fontId="97" fillId="2" borderId="56" xfId="0" applyNumberFormat="1" applyFont="1" applyFill="1" applyBorder="1" applyAlignment="1">
      <alignment horizontal="center" vertical="center" shrinkToFit="1"/>
    </xf>
    <xf numFmtId="2" fontId="97" fillId="2" borderId="55" xfId="0" applyNumberFormat="1" applyFont="1" applyFill="1" applyBorder="1" applyAlignment="1">
      <alignment horizontal="center" vertical="center" shrinkToFit="1"/>
    </xf>
    <xf numFmtId="2" fontId="97" fillId="2" borderId="57" xfId="0" applyNumberFormat="1" applyFont="1" applyFill="1" applyBorder="1" applyAlignment="1">
      <alignment horizontal="center" vertical="center" shrinkToFit="1"/>
    </xf>
    <xf numFmtId="1" fontId="34" fillId="2" borderId="53" xfId="69" applyNumberFormat="1" applyFont="1" applyFill="1" applyBorder="1" applyAlignment="1">
      <alignment horizontal="center" vertical="center" wrapText="1"/>
    </xf>
    <xf numFmtId="0" fontId="103" fillId="2" borderId="61" xfId="0" applyFont="1" applyFill="1" applyBorder="1" applyAlignment="1">
      <alignment horizontal="center" vertical="center"/>
    </xf>
    <xf numFmtId="0" fontId="103" fillId="2" borderId="40" xfId="0" applyFont="1" applyFill="1" applyBorder="1" applyAlignment="1">
      <alignment horizontal="center" vertical="center"/>
    </xf>
    <xf numFmtId="0" fontId="103" fillId="2" borderId="49" xfId="0" applyFont="1" applyFill="1" applyBorder="1" applyAlignment="1">
      <alignment horizontal="center" vertical="center"/>
    </xf>
    <xf numFmtId="49" fontId="46" fillId="2" borderId="26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left" vertical="center" wrapText="1"/>
    </xf>
    <xf numFmtId="0" fontId="51" fillId="2" borderId="44" xfId="0" applyNumberFormat="1" applyFont="1" applyFill="1" applyBorder="1" applyAlignment="1">
      <alignment horizontal="center" vertical="center"/>
    </xf>
    <xf numFmtId="0" fontId="51" fillId="2" borderId="41" xfId="0" applyNumberFormat="1" applyFont="1" applyFill="1" applyBorder="1" applyAlignment="1">
      <alignment horizontal="center" vertical="center"/>
    </xf>
    <xf numFmtId="0" fontId="51" fillId="2" borderId="50" xfId="0" applyNumberFormat="1" applyFont="1" applyFill="1" applyBorder="1" applyAlignment="1">
      <alignment horizontal="center" vertical="center"/>
    </xf>
    <xf numFmtId="1" fontId="46" fillId="2" borderId="26" xfId="0" applyNumberFormat="1" applyFont="1" applyFill="1" applyBorder="1" applyAlignment="1">
      <alignment horizontal="center" vertical="center" shrinkToFit="1"/>
    </xf>
    <xf numFmtId="2" fontId="46" fillId="2" borderId="26" xfId="0" applyNumberFormat="1" applyFont="1" applyFill="1" applyBorder="1" applyAlignment="1">
      <alignment horizontal="center" vertical="center" shrinkToFit="1"/>
    </xf>
    <xf numFmtId="2" fontId="46" fillId="2" borderId="56" xfId="0" applyNumberFormat="1" applyFont="1" applyFill="1" applyBorder="1" applyAlignment="1">
      <alignment horizontal="center" vertical="center" shrinkToFit="1"/>
    </xf>
    <xf numFmtId="2" fontId="46" fillId="2" borderId="58" xfId="0" applyNumberFormat="1" applyFont="1" applyFill="1" applyBorder="1" applyAlignment="1">
      <alignment horizontal="center" vertical="center" shrinkToFit="1"/>
    </xf>
    <xf numFmtId="0" fontId="33" fillId="2" borderId="44" xfId="0" applyNumberFormat="1" applyFont="1" applyFill="1" applyBorder="1" applyAlignment="1">
      <alignment horizontal="center" vertical="center"/>
    </xf>
    <xf numFmtId="0" fontId="33" fillId="2" borderId="41" xfId="0" applyNumberFormat="1" applyFont="1" applyFill="1" applyBorder="1" applyAlignment="1">
      <alignment horizontal="center" vertical="center"/>
    </xf>
    <xf numFmtId="0" fontId="33" fillId="2" borderId="50" xfId="0" applyNumberFormat="1" applyFont="1" applyFill="1" applyBorder="1" applyAlignment="1">
      <alignment horizontal="center" vertical="center"/>
    </xf>
    <xf numFmtId="2" fontId="46" fillId="2" borderId="59" xfId="79" applyNumberFormat="1" applyFont="1" applyFill="1" applyBorder="1" applyAlignment="1">
      <alignment horizontal="center" vertical="center" wrapText="1" shrinkToFit="1"/>
    </xf>
    <xf numFmtId="2" fontId="46" fillId="2" borderId="111" xfId="79" applyNumberFormat="1" applyFont="1" applyFill="1" applyBorder="1" applyAlignment="1">
      <alignment horizontal="center" vertical="center" wrapText="1" shrinkToFit="1"/>
    </xf>
    <xf numFmtId="2" fontId="46" fillId="2" borderId="60" xfId="79" applyNumberFormat="1" applyFont="1" applyFill="1" applyBorder="1" applyAlignment="1">
      <alignment horizontal="center" vertical="center" wrapText="1" shrinkToFit="1"/>
    </xf>
    <xf numFmtId="2" fontId="46" fillId="2" borderId="42" xfId="79" applyNumberFormat="1" applyFont="1" applyFill="1" applyBorder="1" applyAlignment="1">
      <alignment horizontal="center" vertical="center" wrapText="1" shrinkToFit="1"/>
    </xf>
    <xf numFmtId="2" fontId="46" fillId="2" borderId="0" xfId="79" applyNumberFormat="1" applyFont="1" applyFill="1" applyBorder="1" applyAlignment="1">
      <alignment horizontal="center" vertical="center" wrapText="1" shrinkToFit="1"/>
    </xf>
    <xf numFmtId="2" fontId="46" fillId="2" borderId="43" xfId="79" applyNumberFormat="1" applyFont="1" applyFill="1" applyBorder="1" applyAlignment="1">
      <alignment horizontal="center" vertical="center" wrapText="1" shrinkToFit="1"/>
    </xf>
    <xf numFmtId="2" fontId="46" fillId="2" borderId="51" xfId="79" applyNumberFormat="1" applyFont="1" applyFill="1" applyBorder="1" applyAlignment="1">
      <alignment horizontal="center" vertical="center" wrapText="1" shrinkToFit="1"/>
    </xf>
    <xf numFmtId="2" fontId="46" fillId="2" borderId="1" xfId="79" applyNumberFormat="1" applyFont="1" applyFill="1" applyBorder="1" applyAlignment="1">
      <alignment horizontal="center" vertical="center" wrapText="1" shrinkToFit="1"/>
    </xf>
    <xf numFmtId="2" fontId="46" fillId="2" borderId="52" xfId="79" applyNumberFormat="1" applyFont="1" applyFill="1" applyBorder="1" applyAlignment="1">
      <alignment horizontal="center" vertical="center" wrapText="1" shrinkToFit="1"/>
    </xf>
    <xf numFmtId="2" fontId="46" fillId="2" borderId="59" xfId="79" applyNumberFormat="1" applyFont="1" applyFill="1" applyBorder="1" applyAlignment="1">
      <alignment horizontal="center" vertical="center" shrinkToFit="1"/>
    </xf>
    <xf numFmtId="2" fontId="46" fillId="2" borderId="111" xfId="79" applyNumberFormat="1" applyFont="1" applyFill="1" applyBorder="1" applyAlignment="1">
      <alignment horizontal="center" vertical="center" shrinkToFit="1"/>
    </xf>
    <xf numFmtId="2" fontId="46" fillId="2" borderId="60" xfId="79" applyNumberFormat="1" applyFont="1" applyFill="1" applyBorder="1" applyAlignment="1">
      <alignment horizontal="center" vertical="center" shrinkToFit="1"/>
    </xf>
    <xf numFmtId="2" fontId="46" fillId="2" borderId="42" xfId="79" applyNumberFormat="1" applyFont="1" applyFill="1" applyBorder="1" applyAlignment="1">
      <alignment horizontal="center" vertical="center" shrinkToFit="1"/>
    </xf>
    <xf numFmtId="2" fontId="46" fillId="2" borderId="0" xfId="79" applyNumberFormat="1" applyFont="1" applyFill="1" applyBorder="1" applyAlignment="1">
      <alignment horizontal="center" vertical="center" shrinkToFit="1"/>
    </xf>
    <xf numFmtId="2" fontId="46" fillId="2" borderId="43" xfId="79" applyNumberFormat="1" applyFont="1" applyFill="1" applyBorder="1" applyAlignment="1">
      <alignment horizontal="center" vertical="center" shrinkToFit="1"/>
    </xf>
    <xf numFmtId="2" fontId="46" fillId="2" borderId="51" xfId="79" applyNumberFormat="1" applyFont="1" applyFill="1" applyBorder="1" applyAlignment="1">
      <alignment horizontal="center" vertical="center" shrinkToFit="1"/>
    </xf>
    <xf numFmtId="2" fontId="46" fillId="2" borderId="1" xfId="79" applyNumberFormat="1" applyFont="1" applyFill="1" applyBorder="1" applyAlignment="1">
      <alignment horizontal="center" vertical="center" shrinkToFit="1"/>
    </xf>
    <xf numFmtId="2" fontId="46" fillId="2" borderId="52" xfId="79" applyNumberFormat="1" applyFont="1" applyFill="1" applyBorder="1" applyAlignment="1">
      <alignment horizontal="center" vertical="center" shrinkToFit="1"/>
    </xf>
    <xf numFmtId="49" fontId="34" fillId="2" borderId="44" xfId="77" applyNumberFormat="1" applyFont="1" applyFill="1" applyBorder="1" applyAlignment="1">
      <alignment horizontal="left" vertical="center" wrapText="1"/>
    </xf>
    <xf numFmtId="49" fontId="34" fillId="2" borderId="50" xfId="77" applyNumberFormat="1" applyFont="1" applyFill="1" applyBorder="1" applyAlignment="1">
      <alignment horizontal="left" vertical="center" wrapText="1"/>
    </xf>
    <xf numFmtId="0" fontId="34" fillId="2" borderId="44" xfId="185" applyNumberFormat="1" applyFont="1" applyFill="1" applyBorder="1" applyAlignment="1">
      <alignment horizontal="center" vertical="center"/>
    </xf>
    <xf numFmtId="0" fontId="34" fillId="2" borderId="50" xfId="185" applyNumberFormat="1" applyFont="1" applyFill="1" applyBorder="1" applyAlignment="1">
      <alignment horizontal="center" vertical="center"/>
    </xf>
    <xf numFmtId="0" fontId="34" fillId="2" borderId="61" xfId="77" applyNumberFormat="1" applyFont="1" applyFill="1" applyBorder="1" applyAlignment="1">
      <alignment horizontal="center" vertical="center" shrinkToFit="1"/>
    </xf>
    <xf numFmtId="0" fontId="34" fillId="2" borderId="49" xfId="77" applyNumberFormat="1" applyFont="1" applyFill="1" applyBorder="1" applyAlignment="1">
      <alignment horizontal="center" vertical="center" shrinkToFit="1"/>
    </xf>
    <xf numFmtId="49" fontId="34" fillId="2" borderId="44" xfId="77" applyNumberFormat="1" applyFont="1" applyFill="1" applyBorder="1" applyAlignment="1">
      <alignment horizontal="center" vertical="center" wrapText="1"/>
    </xf>
    <xf numFmtId="49" fontId="34" fillId="2" borderId="50" xfId="77" applyNumberFormat="1" applyFont="1" applyFill="1" applyBorder="1" applyAlignment="1">
      <alignment horizontal="center" vertical="center" wrapText="1"/>
    </xf>
    <xf numFmtId="2" fontId="34" fillId="2" borderId="44" xfId="185" applyNumberFormat="1" applyFont="1" applyFill="1" applyBorder="1" applyAlignment="1">
      <alignment horizontal="center" vertical="center" shrinkToFit="1"/>
    </xf>
    <xf numFmtId="2" fontId="34" fillId="2" borderId="50" xfId="185" applyNumberFormat="1" applyFont="1" applyFill="1" applyBorder="1" applyAlignment="1">
      <alignment horizontal="center" vertical="center" shrinkToFit="1"/>
    </xf>
    <xf numFmtId="169" fontId="34" fillId="2" borderId="26" xfId="77" applyNumberFormat="1" applyFont="1" applyFill="1" applyBorder="1" applyAlignment="1">
      <alignment horizontal="center" vertical="center" shrinkToFit="1"/>
    </xf>
    <xf numFmtId="2" fontId="34" fillId="2" borderId="44" xfId="77" applyNumberFormat="1" applyFont="1" applyFill="1" applyBorder="1" applyAlignment="1">
      <alignment horizontal="center" vertical="center" shrinkToFit="1"/>
    </xf>
    <xf numFmtId="2" fontId="34" fillId="2" borderId="50" xfId="77" applyNumberFormat="1" applyFont="1" applyFill="1" applyBorder="1" applyAlignment="1">
      <alignment horizontal="center" vertical="center" shrinkToFit="1"/>
    </xf>
    <xf numFmtId="2" fontId="34" fillId="2" borderId="84" xfId="77" applyNumberFormat="1" applyFont="1" applyFill="1" applyBorder="1" applyAlignment="1">
      <alignment horizontal="center" vertical="center" shrinkToFit="1"/>
    </xf>
    <xf numFmtId="2" fontId="34" fillId="2" borderId="85" xfId="77" applyNumberFormat="1" applyFont="1" applyFill="1" applyBorder="1" applyAlignment="1">
      <alignment horizontal="center" vertical="center" shrinkToFit="1"/>
    </xf>
    <xf numFmtId="2" fontId="34" fillId="2" borderId="26" xfId="77" applyNumberFormat="1" applyFont="1" applyFill="1" applyBorder="1" applyAlignment="1">
      <alignment horizontal="center" vertical="center" shrinkToFit="1"/>
    </xf>
    <xf numFmtId="2" fontId="34" fillId="2" borderId="56" xfId="77" applyNumberFormat="1" applyFont="1" applyFill="1" applyBorder="1" applyAlignment="1">
      <alignment horizontal="center" vertical="center" shrinkToFit="1"/>
    </xf>
    <xf numFmtId="2" fontId="34" fillId="2" borderId="55" xfId="77" applyNumberFormat="1" applyFont="1" applyFill="1" applyBorder="1" applyAlignment="1">
      <alignment horizontal="center" vertical="center" shrinkToFit="1"/>
    </xf>
    <xf numFmtId="2" fontId="34" fillId="2" borderId="57" xfId="77" applyNumberFormat="1" applyFont="1" applyFill="1" applyBorder="1" applyAlignment="1">
      <alignment horizontal="center" vertical="center" shrinkToFit="1"/>
    </xf>
    <xf numFmtId="0" fontId="84" fillId="2" borderId="28" xfId="2" applyFont="1" applyFill="1" applyBorder="1" applyAlignment="1">
      <alignment horizontal="center"/>
    </xf>
    <xf numFmtId="0" fontId="84" fillId="2" borderId="33" xfId="2" applyFont="1" applyFill="1" applyBorder="1" applyAlignment="1">
      <alignment horizontal="center"/>
    </xf>
    <xf numFmtId="0" fontId="84" fillId="2" borderId="42" xfId="2" applyFont="1" applyFill="1" applyBorder="1" applyAlignment="1">
      <alignment horizontal="center"/>
    </xf>
    <xf numFmtId="0" fontId="84" fillId="2" borderId="0" xfId="2" applyFont="1" applyFill="1" applyBorder="1" applyAlignment="1">
      <alignment horizontal="center"/>
    </xf>
    <xf numFmtId="0" fontId="84" fillId="2" borderId="43" xfId="2" applyFont="1" applyFill="1" applyBorder="1" applyAlignment="1">
      <alignment horizontal="center"/>
    </xf>
    <xf numFmtId="0" fontId="84" fillId="2" borderId="51" xfId="2" applyFont="1" applyFill="1" applyBorder="1" applyAlignment="1">
      <alignment horizontal="center"/>
    </xf>
    <xf numFmtId="0" fontId="84" fillId="2" borderId="1" xfId="2" applyFont="1" applyFill="1" applyBorder="1" applyAlignment="1">
      <alignment horizontal="center"/>
    </xf>
    <xf numFmtId="0" fontId="84" fillId="2" borderId="52" xfId="2" applyFont="1" applyFill="1" applyBorder="1" applyAlignment="1">
      <alignment horizontal="center"/>
    </xf>
    <xf numFmtId="0" fontId="41" fillId="2" borderId="55" xfId="2" applyFont="1" applyFill="1" applyBorder="1" applyAlignment="1">
      <alignment horizontal="center"/>
    </xf>
    <xf numFmtId="0" fontId="41" fillId="2" borderId="57" xfId="2" applyFont="1" applyFill="1" applyBorder="1" applyAlignment="1">
      <alignment horizontal="center"/>
    </xf>
    <xf numFmtId="0" fontId="46" fillId="2" borderId="30" xfId="2" applyFont="1" applyFill="1" applyBorder="1" applyAlignment="1">
      <alignment horizontal="center" vertical="center" wrapText="1"/>
    </xf>
    <xf numFmtId="0" fontId="46" fillId="2" borderId="40" xfId="2" applyFont="1" applyFill="1" applyBorder="1" applyAlignment="1">
      <alignment horizontal="center" vertical="center" wrapText="1"/>
    </xf>
    <xf numFmtId="0" fontId="46" fillId="2" borderId="49" xfId="2" applyFont="1" applyFill="1" applyBorder="1" applyAlignment="1">
      <alignment horizontal="center" vertical="center" wrapText="1"/>
    </xf>
    <xf numFmtId="0" fontId="39" fillId="2" borderId="56" xfId="75" applyNumberFormat="1" applyFont="1" applyFill="1" applyBorder="1" applyAlignment="1">
      <alignment horizontal="left" vertical="top"/>
    </xf>
    <xf numFmtId="0" fontId="39" fillId="2" borderId="55" xfId="75" applyNumberFormat="1" applyFont="1" applyFill="1" applyBorder="1" applyAlignment="1">
      <alignment horizontal="left" vertical="top"/>
    </xf>
    <xf numFmtId="0" fontId="39" fillId="2" borderId="57" xfId="75" applyNumberFormat="1" applyFont="1" applyFill="1" applyBorder="1" applyAlignment="1">
      <alignment horizontal="left" vertical="top"/>
    </xf>
    <xf numFmtId="2" fontId="60" fillId="2" borderId="0" xfId="2" applyNumberFormat="1" applyFont="1" applyFill="1" applyBorder="1" applyAlignment="1">
      <alignment horizontal="center"/>
    </xf>
    <xf numFmtId="10" fontId="33" fillId="2" borderId="31" xfId="2" applyNumberFormat="1" applyFont="1" applyFill="1" applyBorder="1" applyAlignment="1">
      <alignment horizontal="center" vertical="center" textRotation="90" wrapText="1"/>
    </xf>
    <xf numFmtId="10" fontId="33" fillId="2" borderId="41" xfId="2" applyNumberFormat="1" applyFont="1" applyFill="1" applyBorder="1" applyAlignment="1">
      <alignment horizontal="center" vertical="center" textRotation="90" wrapText="1"/>
    </xf>
    <xf numFmtId="10" fontId="33" fillId="2" borderId="50" xfId="2" applyNumberFormat="1" applyFont="1" applyFill="1" applyBorder="1" applyAlignment="1">
      <alignment horizontal="center" vertical="center" textRotation="90" wrapText="1"/>
    </xf>
    <xf numFmtId="2" fontId="51" fillId="2" borderId="22" xfId="2" applyNumberFormat="1" applyFont="1" applyFill="1" applyBorder="1" applyAlignment="1">
      <alignment horizontal="center" textRotation="90" wrapText="1"/>
    </xf>
    <xf numFmtId="0" fontId="33" fillId="2" borderId="44" xfId="2" applyFont="1" applyFill="1" applyBorder="1" applyAlignment="1">
      <alignment horizontal="center" vertical="center" textRotation="90"/>
    </xf>
    <xf numFmtId="0" fontId="33" fillId="2" borderId="41" xfId="2" applyFont="1" applyFill="1" applyBorder="1" applyAlignment="1">
      <alignment horizontal="center" vertical="center" textRotation="90"/>
    </xf>
    <xf numFmtId="0" fontId="33" fillId="2" borderId="50" xfId="2" applyFont="1" applyFill="1" applyBorder="1" applyAlignment="1">
      <alignment horizontal="center" vertical="center" textRotation="90"/>
    </xf>
    <xf numFmtId="0" fontId="33" fillId="2" borderId="44" xfId="2" applyFont="1" applyFill="1" applyBorder="1" applyAlignment="1">
      <alignment horizontal="right" vertical="center" textRotation="90" wrapText="1"/>
    </xf>
    <xf numFmtId="0" fontId="33" fillId="2" borderId="41" xfId="2" applyFont="1" applyFill="1" applyBorder="1" applyAlignment="1">
      <alignment horizontal="right" vertical="center" textRotation="90" wrapText="1"/>
    </xf>
    <xf numFmtId="0" fontId="33" fillId="2" borderId="50" xfId="2" applyFont="1" applyFill="1" applyBorder="1" applyAlignment="1">
      <alignment horizontal="right" vertical="center" textRotation="90" wrapText="1"/>
    </xf>
    <xf numFmtId="0" fontId="102" fillId="2" borderId="1" xfId="2" applyNumberFormat="1" applyFont="1" applyFill="1" applyBorder="1" applyAlignment="1">
      <alignment horizontal="center" vertical="center" wrapText="1"/>
    </xf>
    <xf numFmtId="169" fontId="47" fillId="2" borderId="0" xfId="2" applyNumberFormat="1" applyFont="1" applyFill="1" applyBorder="1" applyAlignment="1">
      <alignment horizontal="left"/>
    </xf>
    <xf numFmtId="0" fontId="45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0" fontId="32" fillId="2" borderId="42" xfId="2" applyFont="1" applyFill="1" applyBorder="1" applyAlignment="1">
      <alignment horizontal="left" vertical="center" indent="35"/>
    </xf>
    <xf numFmtId="0" fontId="32" fillId="2" borderId="0" xfId="2" applyFont="1" applyFill="1" applyBorder="1" applyAlignment="1">
      <alignment horizontal="left" vertical="center" indent="35"/>
    </xf>
    <xf numFmtId="14" fontId="31" fillId="2" borderId="0" xfId="2" applyNumberFormat="1" applyFont="1" applyFill="1" applyBorder="1" applyAlignment="1">
      <alignment horizontal="left"/>
    </xf>
    <xf numFmtId="2" fontId="34" fillId="2" borderId="82" xfId="0" applyNumberFormat="1" applyFont="1" applyFill="1" applyBorder="1" applyAlignment="1">
      <alignment horizontal="center" vertical="center" shrinkToFit="1"/>
    </xf>
    <xf numFmtId="0" fontId="99" fillId="2" borderId="26" xfId="69" applyFont="1" applyFill="1" applyBorder="1" applyAlignment="1">
      <alignment horizontal="left" vertical="center" wrapText="1"/>
    </xf>
    <xf numFmtId="2" fontId="34" fillId="2" borderId="44" xfId="79" applyNumberFormat="1" applyFont="1" applyFill="1" applyBorder="1" applyAlignment="1">
      <alignment horizontal="center" vertical="center" shrinkToFit="1"/>
    </xf>
    <xf numFmtId="2" fontId="34" fillId="2" borderId="50" xfId="79" applyNumberFormat="1" applyFont="1" applyFill="1" applyBorder="1" applyAlignment="1">
      <alignment horizontal="center" vertical="center" shrinkToFit="1"/>
    </xf>
    <xf numFmtId="2" fontId="94" fillId="2" borderId="84" xfId="79" applyNumberFormat="1" applyFont="1" applyFill="1" applyBorder="1" applyAlignment="1">
      <alignment horizontal="center" vertical="center" shrinkToFit="1"/>
    </xf>
    <xf numFmtId="2" fontId="94" fillId="2" borderId="85" xfId="79" applyNumberFormat="1" applyFont="1" applyFill="1" applyBorder="1" applyAlignment="1">
      <alignment horizontal="center" vertical="center" shrinkToFit="1"/>
    </xf>
    <xf numFmtId="165" fontId="34" fillId="2" borderId="26" xfId="79" applyNumberFormat="1" applyFont="1" applyFill="1" applyBorder="1" applyAlignment="1">
      <alignment horizontal="center" vertical="center" shrinkToFit="1"/>
    </xf>
    <xf numFmtId="165" fontId="94" fillId="2" borderId="26" xfId="79" applyNumberFormat="1" applyFont="1" applyFill="1" applyBorder="1" applyAlignment="1">
      <alignment horizontal="center" vertical="center" shrinkToFit="1"/>
    </xf>
    <xf numFmtId="0" fontId="34" fillId="2" borderId="49" xfId="79" applyNumberFormat="1" applyFont="1" applyFill="1" applyBorder="1" applyAlignment="1">
      <alignment horizontal="center" vertical="center" shrinkToFit="1"/>
    </xf>
    <xf numFmtId="49" fontId="34" fillId="2" borderId="44" xfId="79" applyNumberFormat="1" applyFont="1" applyFill="1" applyBorder="1" applyAlignment="1">
      <alignment horizontal="center" vertical="center" wrapText="1"/>
    </xf>
    <xf numFmtId="49" fontId="34" fillId="2" borderId="50" xfId="79" applyNumberFormat="1" applyFont="1" applyFill="1" applyBorder="1" applyAlignment="1">
      <alignment horizontal="center" vertical="center" wrapText="1"/>
    </xf>
    <xf numFmtId="0" fontId="34" fillId="2" borderId="44" xfId="4" applyNumberFormat="1" applyFont="1" applyFill="1" applyBorder="1" applyAlignment="1">
      <alignment horizontal="center" vertical="center"/>
    </xf>
    <xf numFmtId="0" fontId="34" fillId="2" borderId="50" xfId="4" applyNumberFormat="1" applyFont="1" applyFill="1" applyBorder="1" applyAlignment="1">
      <alignment horizontal="center" vertical="center"/>
    </xf>
    <xf numFmtId="0" fontId="34" fillId="2" borderId="44" xfId="79" applyNumberFormat="1" applyFont="1" applyFill="1" applyBorder="1" applyAlignment="1">
      <alignment horizontal="center" vertical="center"/>
    </xf>
    <xf numFmtId="0" fontId="34" fillId="2" borderId="50" xfId="79" applyNumberFormat="1" applyFont="1" applyFill="1" applyBorder="1" applyAlignment="1">
      <alignment horizontal="center" vertical="center"/>
    </xf>
    <xf numFmtId="2" fontId="34" fillId="2" borderId="26" xfId="79" applyNumberFormat="1" applyFont="1" applyFill="1" applyBorder="1" applyAlignment="1">
      <alignment horizontal="center" vertical="center" shrinkToFit="1"/>
    </xf>
    <xf numFmtId="2" fontId="94" fillId="2" borderId="26" xfId="79" applyNumberFormat="1" applyFont="1" applyFill="1" applyBorder="1" applyAlignment="1">
      <alignment horizontal="center" vertical="center" shrinkToFit="1"/>
    </xf>
    <xf numFmtId="0" fontId="42" fillId="2" borderId="1" xfId="77" applyFont="1" applyFill="1" applyBorder="1" applyAlignment="1">
      <alignment horizontal="left" vertical="center" wrapText="1"/>
    </xf>
    <xf numFmtId="49" fontId="46" fillId="2" borderId="26" xfId="79" applyNumberFormat="1" applyFont="1" applyFill="1" applyBorder="1" applyAlignment="1">
      <alignment vertical="center" wrapText="1"/>
    </xf>
    <xf numFmtId="0" fontId="33" fillId="2" borderId="26" xfId="74" applyNumberFormat="1" applyFont="1" applyFill="1" applyBorder="1" applyAlignment="1">
      <alignment horizontal="center" vertical="center" wrapText="1"/>
    </xf>
    <xf numFmtId="0" fontId="33" fillId="2" borderId="26" xfId="74" applyNumberFormat="1" applyFont="1" applyFill="1" applyBorder="1" applyAlignment="1">
      <alignment horizontal="left" vertical="center" wrapText="1"/>
    </xf>
    <xf numFmtId="49" fontId="46" fillId="2" borderId="26" xfId="0" applyNumberFormat="1" applyFont="1" applyFill="1" applyBorder="1" applyAlignment="1">
      <alignment vertical="center" wrapText="1"/>
    </xf>
    <xf numFmtId="0" fontId="34" fillId="2" borderId="26" xfId="0" applyNumberFormat="1" applyFont="1" applyFill="1" applyBorder="1" applyAlignment="1">
      <alignment horizontal="center" vertical="center"/>
    </xf>
    <xf numFmtId="0" fontId="34" fillId="2" borderId="26" xfId="74" applyNumberFormat="1" applyFont="1" applyFill="1" applyBorder="1" applyAlignment="1">
      <alignment horizontal="center" vertical="center"/>
    </xf>
    <xf numFmtId="165" fontId="34" fillId="2" borderId="82" xfId="0" applyNumberFormat="1" applyFont="1" applyFill="1" applyBorder="1" applyAlignment="1">
      <alignment horizontal="center" vertical="center" shrinkToFit="1"/>
    </xf>
    <xf numFmtId="49" fontId="46" fillId="2" borderId="44" xfId="9" applyNumberFormat="1" applyFont="1" applyFill="1" applyBorder="1" applyAlignment="1">
      <alignment vertical="top" wrapText="1"/>
    </xf>
    <xf numFmtId="49" fontId="46" fillId="2" borderId="50" xfId="9" applyNumberFormat="1" applyFont="1" applyFill="1" applyBorder="1" applyAlignment="1">
      <alignment vertical="top" wrapText="1"/>
    </xf>
    <xf numFmtId="49" fontId="46" fillId="2" borderId="26" xfId="9" applyNumberFormat="1" applyFont="1" applyFill="1" applyBorder="1" applyAlignment="1">
      <alignment vertical="top" wrapText="1"/>
    </xf>
    <xf numFmtId="49" fontId="87" fillId="2" borderId="26" xfId="193" applyNumberFormat="1" applyFont="1" applyFill="1" applyBorder="1" applyAlignment="1">
      <alignment horizontal="left" vertical="top" wrapText="1"/>
    </xf>
    <xf numFmtId="49" fontId="46" fillId="2" borderId="41" xfId="0" applyNumberFormat="1" applyFont="1" applyFill="1" applyBorder="1" applyAlignment="1">
      <alignment horizontal="left" vertical="center" wrapText="1"/>
    </xf>
    <xf numFmtId="0" fontId="33" fillId="2" borderId="44" xfId="74" applyNumberFormat="1" applyFont="1" applyFill="1" applyBorder="1" applyAlignment="1">
      <alignment horizontal="center" vertical="center"/>
    </xf>
    <xf numFmtId="0" fontId="33" fillId="2" borderId="41" xfId="74" applyNumberFormat="1" applyFont="1" applyFill="1" applyBorder="1" applyAlignment="1">
      <alignment horizontal="center" vertical="center"/>
    </xf>
    <xf numFmtId="0" fontId="33" fillId="2" borderId="50" xfId="74" applyNumberFormat="1" applyFont="1" applyFill="1" applyBorder="1" applyAlignment="1">
      <alignment horizontal="center" vertical="center"/>
    </xf>
    <xf numFmtId="170" fontId="34" fillId="2" borderId="56" xfId="0" applyNumberFormat="1" applyFont="1" applyFill="1" applyBorder="1" applyAlignment="1">
      <alignment horizontal="center" vertical="center" shrinkToFit="1"/>
    </xf>
    <xf numFmtId="170" fontId="34" fillId="2" borderId="55" xfId="0" applyNumberFormat="1" applyFont="1" applyFill="1" applyBorder="1" applyAlignment="1">
      <alignment horizontal="center" vertical="center" shrinkToFit="1"/>
    </xf>
    <xf numFmtId="170" fontId="34" fillId="2" borderId="57" xfId="0" applyNumberFormat="1" applyFont="1" applyFill="1" applyBorder="1" applyAlignment="1">
      <alignment horizontal="center" vertical="center" shrinkToFit="1"/>
    </xf>
    <xf numFmtId="2" fontId="96" fillId="2" borderId="26" xfId="0" applyNumberFormat="1" applyFont="1" applyFill="1" applyBorder="1" applyAlignment="1">
      <alignment horizontal="center" vertical="center" shrinkToFit="1"/>
    </xf>
    <xf numFmtId="2" fontId="96" fillId="2" borderId="26" xfId="0" applyNumberFormat="1" applyFont="1" applyFill="1" applyBorder="1" applyAlignment="1">
      <alignment horizontal="center" vertical="top" shrinkToFit="1"/>
    </xf>
    <xf numFmtId="49" fontId="87" fillId="2" borderId="44" xfId="194" applyNumberFormat="1" applyFont="1" applyFill="1" applyBorder="1" applyAlignment="1">
      <alignment horizontal="left" vertical="center" wrapText="1"/>
    </xf>
    <xf numFmtId="49" fontId="87" fillId="2" borderId="50" xfId="194" applyNumberFormat="1" applyFont="1" applyFill="1" applyBorder="1" applyAlignment="1">
      <alignment horizontal="left" vertical="center" wrapText="1"/>
    </xf>
    <xf numFmtId="0" fontId="34" fillId="2" borderId="44" xfId="64" applyNumberFormat="1" applyFont="1" applyFill="1" applyBorder="1" applyAlignment="1">
      <alignment horizontal="center" vertical="center"/>
    </xf>
    <xf numFmtId="0" fontId="34" fillId="2" borderId="50" xfId="64" applyNumberFormat="1" applyFont="1" applyFill="1" applyBorder="1" applyAlignment="1">
      <alignment horizontal="center" vertical="center"/>
    </xf>
    <xf numFmtId="168" fontId="46" fillId="2" borderId="26" xfId="234" applyNumberFormat="1" applyFont="1" applyFill="1" applyBorder="1" applyAlignment="1">
      <alignment horizontal="center" vertical="center" shrinkToFit="1"/>
    </xf>
    <xf numFmtId="49" fontId="87" fillId="2" borderId="41" xfId="194" applyNumberFormat="1" applyFont="1" applyFill="1" applyBorder="1" applyAlignment="1">
      <alignment horizontal="left" vertical="center" wrapText="1"/>
    </xf>
    <xf numFmtId="0" fontId="34" fillId="2" borderId="41" xfId="64" applyNumberFormat="1" applyFont="1" applyFill="1" applyBorder="1" applyAlignment="1">
      <alignment horizontal="center" vertical="center"/>
    </xf>
    <xf numFmtId="2" fontId="34" fillId="0" borderId="44" xfId="7" applyNumberFormat="1" applyFont="1" applyFill="1" applyBorder="1" applyAlignment="1">
      <alignment horizontal="center" vertical="center" shrinkToFit="1"/>
    </xf>
    <xf numFmtId="2" fontId="34" fillId="0" borderId="50" xfId="7" applyNumberFormat="1" applyFont="1" applyFill="1" applyBorder="1" applyAlignment="1">
      <alignment horizontal="center" vertical="center" shrinkToFit="1"/>
    </xf>
    <xf numFmtId="165" fontId="34" fillId="0" borderId="26" xfId="7" applyNumberFormat="1" applyFont="1" applyBorder="1" applyAlignment="1">
      <alignment horizontal="center" vertical="center" shrinkToFit="1"/>
    </xf>
    <xf numFmtId="165" fontId="94" fillId="0" borderId="26" xfId="7" applyNumberFormat="1" applyFont="1" applyFill="1" applyBorder="1" applyAlignment="1">
      <alignment horizontal="center" vertical="center" shrinkToFit="1"/>
    </xf>
    <xf numFmtId="49" fontId="34" fillId="2" borderId="44" xfId="0" applyNumberFormat="1" applyFont="1" applyFill="1" applyBorder="1" applyAlignment="1">
      <alignment horizontal="left" vertical="center"/>
    </xf>
    <xf numFmtId="49" fontId="34" fillId="2" borderId="41" xfId="0" applyNumberFormat="1" applyFont="1" applyFill="1" applyBorder="1" applyAlignment="1">
      <alignment horizontal="left" vertical="center"/>
    </xf>
    <xf numFmtId="49" fontId="34" fillId="2" borderId="50" xfId="0" applyNumberFormat="1" applyFont="1" applyFill="1" applyBorder="1" applyAlignment="1">
      <alignment horizontal="left" vertical="center"/>
    </xf>
    <xf numFmtId="0" fontId="34" fillId="2" borderId="41" xfId="6" applyNumberFormat="1" applyFont="1" applyFill="1" applyBorder="1" applyAlignment="1">
      <alignment horizontal="center" vertical="center"/>
    </xf>
    <xf numFmtId="0" fontId="34" fillId="0" borderId="61" xfId="7" applyNumberFormat="1" applyFont="1" applyFill="1" applyBorder="1" applyAlignment="1">
      <alignment horizontal="center" vertical="center" shrinkToFit="1"/>
    </xf>
    <xf numFmtId="0" fontId="34" fillId="0" borderId="49" xfId="7" applyNumberFormat="1" applyFont="1" applyFill="1" applyBorder="1" applyAlignment="1">
      <alignment horizontal="center" vertical="center" shrinkToFit="1"/>
    </xf>
    <xf numFmtId="49" fontId="34" fillId="0" borderId="44" xfId="7" applyNumberFormat="1" applyFont="1" applyFill="1" applyBorder="1" applyAlignment="1">
      <alignment horizontal="center" vertical="center" wrapText="1"/>
    </xf>
    <xf numFmtId="49" fontId="34" fillId="0" borderId="50" xfId="7" applyNumberFormat="1" applyFont="1" applyFill="1" applyBorder="1" applyAlignment="1">
      <alignment horizontal="center" vertical="center" wrapText="1"/>
    </xf>
    <xf numFmtId="165" fontId="34" fillId="0" borderId="26" xfId="7" applyNumberFormat="1" applyFont="1" applyFill="1" applyBorder="1" applyAlignment="1">
      <alignment vertical="center" shrinkToFit="1"/>
    </xf>
    <xf numFmtId="165" fontId="94" fillId="2" borderId="26" xfId="7" applyNumberFormat="1" applyFont="1" applyFill="1" applyBorder="1" applyAlignment="1">
      <alignment vertical="center" shrinkToFit="1"/>
    </xf>
    <xf numFmtId="0" fontId="34" fillId="2" borderId="26" xfId="6" applyNumberFormat="1" applyFont="1" applyFill="1" applyBorder="1" applyAlignment="1">
      <alignment horizontal="center" vertical="center" wrapText="1"/>
    </xf>
    <xf numFmtId="168" fontId="34" fillId="2" borderId="41" xfId="7" applyNumberFormat="1" applyFont="1" applyFill="1" applyBorder="1" applyAlignment="1">
      <alignment horizontal="center" vertical="center"/>
    </xf>
    <xf numFmtId="165" fontId="34" fillId="2" borderId="50" xfId="7" applyNumberFormat="1" applyFont="1" applyFill="1" applyBorder="1" applyAlignment="1">
      <alignment horizontal="center" vertical="center" shrinkToFit="1"/>
    </xf>
    <xf numFmtId="165" fontId="94" fillId="2" borderId="50" xfId="7" applyNumberFormat="1" applyFont="1" applyFill="1" applyBorder="1" applyAlignment="1">
      <alignment horizontal="center" vertical="center" shrinkToFit="1"/>
    </xf>
    <xf numFmtId="0" fontId="34" fillId="2" borderId="26" xfId="7" applyNumberFormat="1" applyFont="1" applyFill="1" applyBorder="1" applyAlignment="1">
      <alignment horizontal="center" vertical="center" shrinkToFit="1"/>
    </xf>
    <xf numFmtId="0" fontId="34" fillId="36" borderId="44" xfId="0" applyNumberFormat="1" applyFont="1" applyFill="1" applyBorder="1" applyAlignment="1">
      <alignment horizontal="center" vertical="center" shrinkToFit="1"/>
    </xf>
    <xf numFmtId="0" fontId="34" fillId="36" borderId="50" xfId="0" applyNumberFormat="1" applyFont="1" applyFill="1" applyBorder="1" applyAlignment="1">
      <alignment horizontal="center" vertical="center" shrinkToFit="1"/>
    </xf>
    <xf numFmtId="49" fontId="103" fillId="2" borderId="26" xfId="0" applyNumberFormat="1" applyFont="1" applyFill="1" applyBorder="1" applyAlignment="1">
      <alignment horizontal="left" vertical="top" wrapText="1"/>
    </xf>
    <xf numFmtId="49" fontId="34" fillId="2" borderId="26" xfId="0" applyNumberFormat="1" applyFont="1" applyFill="1" applyBorder="1" applyAlignment="1">
      <alignment vertical="center" wrapText="1"/>
    </xf>
    <xf numFmtId="0" fontId="34" fillId="2" borderId="26" xfId="9" applyNumberFormat="1" applyFont="1" applyFill="1" applyBorder="1" applyAlignment="1">
      <alignment horizontal="center" vertical="center"/>
    </xf>
    <xf numFmtId="2" fontId="46" fillId="2" borderId="82" xfId="79" applyNumberFormat="1" applyFont="1" applyFill="1" applyBorder="1" applyAlignment="1">
      <alignment horizontal="center" vertical="center" wrapText="1" shrinkToFit="1"/>
    </xf>
    <xf numFmtId="2" fontId="46" fillId="2" borderId="82" xfId="79" applyNumberFormat="1" applyFont="1" applyFill="1" applyBorder="1" applyAlignment="1">
      <alignment horizontal="center" vertical="center" shrinkToFit="1"/>
    </xf>
    <xf numFmtId="2" fontId="34" fillId="2" borderId="56" xfId="0" applyNumberFormat="1" applyFont="1" applyFill="1" applyBorder="1" applyAlignment="1">
      <alignment horizontal="center" vertical="top" shrinkToFit="1"/>
    </xf>
    <xf numFmtId="2" fontId="34" fillId="2" borderId="55" xfId="0" applyNumberFormat="1" applyFont="1" applyFill="1" applyBorder="1" applyAlignment="1">
      <alignment horizontal="center" vertical="top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0" fontId="34" fillId="2" borderId="26" xfId="0" applyNumberFormat="1" applyFont="1" applyFill="1" applyBorder="1" applyAlignment="1">
      <alignment horizontal="center" vertical="center" wrapText="1"/>
    </xf>
    <xf numFmtId="1" fontId="34" fillId="2" borderId="41" xfId="0" applyNumberFormat="1" applyFont="1" applyFill="1" applyBorder="1" applyAlignment="1">
      <alignment horizontal="center" vertical="center" shrinkToFit="1"/>
    </xf>
    <xf numFmtId="49" fontId="87" fillId="2" borderId="44" xfId="0" applyNumberFormat="1" applyFont="1" applyFill="1" applyBorder="1" applyAlignment="1">
      <alignment horizontal="left" vertical="center" wrapText="1"/>
    </xf>
    <xf numFmtId="49" fontId="87" fillId="2" borderId="41" xfId="0" applyNumberFormat="1" applyFont="1" applyFill="1" applyBorder="1" applyAlignment="1">
      <alignment horizontal="left" vertical="center" wrapText="1"/>
    </xf>
    <xf numFmtId="49" fontId="87" fillId="2" borderId="50" xfId="0" applyNumberFormat="1" applyFont="1" applyFill="1" applyBorder="1" applyAlignment="1">
      <alignment horizontal="left" vertical="center" wrapText="1"/>
    </xf>
    <xf numFmtId="165" fontId="94" fillId="2" borderId="51" xfId="7" applyNumberFormat="1" applyFont="1" applyFill="1" applyBorder="1" applyAlignment="1">
      <alignment horizontal="center" vertical="center" shrinkToFit="1"/>
    </xf>
    <xf numFmtId="165" fontId="94" fillId="2" borderId="1" xfId="7" applyNumberFormat="1" applyFont="1" applyFill="1" applyBorder="1" applyAlignment="1">
      <alignment horizontal="center" vertical="center" shrinkToFit="1"/>
    </xf>
    <xf numFmtId="165" fontId="94" fillId="2" borderId="52" xfId="7" applyNumberFormat="1" applyFont="1" applyFill="1" applyBorder="1" applyAlignment="1">
      <alignment horizontal="center" vertical="center" shrinkToFit="1"/>
    </xf>
    <xf numFmtId="49" fontId="87" fillId="2" borderId="44" xfId="249" applyNumberFormat="1" applyFont="1" applyFill="1" applyBorder="1" applyAlignment="1">
      <alignment vertical="center" wrapText="1"/>
    </xf>
    <xf numFmtId="49" fontId="87" fillId="2" borderId="50" xfId="249" applyNumberFormat="1" applyFont="1" applyFill="1" applyBorder="1" applyAlignment="1">
      <alignment vertical="center" wrapText="1"/>
    </xf>
    <xf numFmtId="0" fontId="34" fillId="2" borderId="26" xfId="75" applyNumberFormat="1" applyFont="1" applyFill="1" applyBorder="1" applyAlignment="1">
      <alignment horizontal="center" vertical="center"/>
    </xf>
    <xf numFmtId="165" fontId="34" fillId="2" borderId="59" xfId="7" applyNumberFormat="1" applyFont="1" applyFill="1" applyBorder="1" applyAlignment="1">
      <alignment horizontal="center" vertical="center" shrinkToFit="1"/>
    </xf>
    <xf numFmtId="165" fontId="34" fillId="2" borderId="82" xfId="7" applyNumberFormat="1" applyFont="1" applyFill="1" applyBorder="1" applyAlignment="1">
      <alignment horizontal="center" vertical="center" shrinkToFit="1"/>
    </xf>
    <xf numFmtId="165" fontId="34" fillId="2" borderId="60" xfId="7" applyNumberFormat="1" applyFont="1" applyFill="1" applyBorder="1" applyAlignment="1">
      <alignment horizontal="center" vertical="center" shrinkToFit="1"/>
    </xf>
    <xf numFmtId="49" fontId="87" fillId="2" borderId="44" xfId="249" applyNumberFormat="1" applyFont="1" applyFill="1" applyBorder="1" applyAlignment="1">
      <alignment vertical="top" wrapText="1"/>
    </xf>
    <xf numFmtId="49" fontId="87" fillId="2" borderId="50" xfId="249" applyNumberFormat="1" applyFont="1" applyFill="1" applyBorder="1" applyAlignment="1">
      <alignment vertical="top" wrapText="1"/>
    </xf>
    <xf numFmtId="0" fontId="34" fillId="2" borderId="26" xfId="6" applyNumberFormat="1" applyFont="1" applyFill="1" applyBorder="1" applyAlignment="1">
      <alignment horizontal="center" vertical="center"/>
    </xf>
    <xf numFmtId="168" fontId="34" fillId="2" borderId="44" xfId="7" applyNumberFormat="1" applyFont="1" applyFill="1" applyBorder="1" applyAlignment="1">
      <alignment horizontal="center" vertical="center" shrinkToFit="1"/>
    </xf>
    <xf numFmtId="168" fontId="34" fillId="2" borderId="50" xfId="7" applyNumberFormat="1" applyFont="1" applyFill="1" applyBorder="1" applyAlignment="1">
      <alignment horizontal="center" vertical="center" shrinkToFit="1"/>
    </xf>
    <xf numFmtId="165" fontId="34" fillId="2" borderId="51" xfId="7" applyNumberFormat="1" applyFont="1" applyFill="1" applyBorder="1" applyAlignment="1">
      <alignment horizontal="center" vertical="center" shrinkToFit="1"/>
    </xf>
    <xf numFmtId="165" fontId="34" fillId="2" borderId="1" xfId="7" applyNumberFormat="1" applyFont="1" applyFill="1" applyBorder="1" applyAlignment="1">
      <alignment horizontal="center" vertical="center" shrinkToFit="1"/>
    </xf>
    <xf numFmtId="165" fontId="34" fillId="2" borderId="52" xfId="7" applyNumberFormat="1" applyFont="1" applyFill="1" applyBorder="1" applyAlignment="1">
      <alignment horizontal="center" vertical="center" shrinkToFit="1"/>
    </xf>
    <xf numFmtId="49" fontId="87" fillId="2" borderId="44" xfId="123" applyNumberFormat="1" applyFont="1" applyFill="1" applyBorder="1" applyAlignment="1">
      <alignment horizontal="left" vertical="center" wrapText="1"/>
    </xf>
    <xf numFmtId="49" fontId="87" fillId="2" borderId="50" xfId="123" applyNumberFormat="1" applyFont="1" applyFill="1" applyBorder="1" applyAlignment="1">
      <alignment horizontal="left" vertical="center" wrapText="1"/>
    </xf>
    <xf numFmtId="0" fontId="87" fillId="2" borderId="44" xfId="249" applyNumberFormat="1" applyFont="1" applyFill="1" applyBorder="1" applyAlignment="1">
      <alignment horizontal="center" vertical="center"/>
    </xf>
    <xf numFmtId="0" fontId="34" fillId="2" borderId="44" xfId="251" applyNumberFormat="1" applyFont="1" applyFill="1" applyBorder="1" applyAlignment="1">
      <alignment horizontal="center" vertical="center"/>
    </xf>
    <xf numFmtId="0" fontId="34" fillId="2" borderId="50" xfId="251" applyNumberFormat="1" applyFont="1" applyFill="1" applyBorder="1" applyAlignment="1">
      <alignment horizontal="center" vertical="center"/>
    </xf>
    <xf numFmtId="2" fontId="60" fillId="2" borderId="0" xfId="2" applyNumberFormat="1" applyFont="1" applyFill="1" applyBorder="1" applyAlignment="1">
      <alignment horizontal="left"/>
    </xf>
    <xf numFmtId="2" fontId="18" fillId="2" borderId="26" xfId="166" applyNumberFormat="1" applyFont="1" applyFill="1" applyBorder="1" applyAlignment="1">
      <alignment horizontal="center" vertical="center" textRotation="90" wrapText="1"/>
    </xf>
    <xf numFmtId="0" fontId="48" fillId="2" borderId="44" xfId="2" applyFont="1" applyFill="1" applyBorder="1" applyAlignment="1">
      <alignment horizontal="center" vertical="center" textRotation="90"/>
    </xf>
    <xf numFmtId="0" fontId="48" fillId="2" borderId="41" xfId="2" applyFont="1" applyFill="1" applyBorder="1" applyAlignment="1">
      <alignment horizontal="center" vertical="center" textRotation="90"/>
    </xf>
    <xf numFmtId="0" fontId="48" fillId="2" borderId="50" xfId="2" applyFont="1" applyFill="1" applyBorder="1" applyAlignment="1">
      <alignment horizontal="center" vertical="center" textRotation="90"/>
    </xf>
    <xf numFmtId="0" fontId="48" fillId="2" borderId="44" xfId="2" applyFont="1" applyFill="1" applyBorder="1" applyAlignment="1">
      <alignment horizontal="center" vertical="center" textRotation="90" wrapText="1"/>
    </xf>
    <xf numFmtId="0" fontId="48" fillId="2" borderId="41" xfId="2" applyFont="1" applyFill="1" applyBorder="1" applyAlignment="1">
      <alignment horizontal="center" vertical="center" textRotation="90" wrapText="1"/>
    </xf>
    <xf numFmtId="0" fontId="48" fillId="2" borderId="50" xfId="2" applyFont="1" applyFill="1" applyBorder="1" applyAlignment="1">
      <alignment horizontal="center" vertical="center" textRotation="90" wrapText="1"/>
    </xf>
    <xf numFmtId="0" fontId="48" fillId="2" borderId="56" xfId="2" applyFont="1" applyFill="1" applyBorder="1" applyAlignment="1">
      <alignment horizontal="center" vertical="center" wrapText="1"/>
    </xf>
    <xf numFmtId="0" fontId="48" fillId="2" borderId="55" xfId="2" applyFont="1" applyFill="1" applyBorder="1" applyAlignment="1">
      <alignment horizontal="center" vertical="center" wrapText="1"/>
    </xf>
    <xf numFmtId="0" fontId="48" fillId="2" borderId="57" xfId="2" applyFont="1" applyFill="1" applyBorder="1" applyAlignment="1">
      <alignment horizontal="center" vertical="center" wrapText="1"/>
    </xf>
    <xf numFmtId="0" fontId="48" fillId="2" borderId="104" xfId="2" applyFont="1" applyFill="1" applyBorder="1" applyAlignment="1">
      <alignment horizontal="center" vertical="center" textRotation="90" wrapText="1"/>
    </xf>
    <xf numFmtId="0" fontId="48" fillId="2" borderId="100" xfId="2" applyFont="1" applyFill="1" applyBorder="1" applyAlignment="1">
      <alignment horizontal="center" vertical="center" textRotation="90" wrapText="1"/>
    </xf>
    <xf numFmtId="0" fontId="48" fillId="2" borderId="102" xfId="2" applyFont="1" applyFill="1" applyBorder="1" applyAlignment="1">
      <alignment horizontal="center" vertical="center" textRotation="90" wrapText="1"/>
    </xf>
    <xf numFmtId="2" fontId="48" fillId="2" borderId="105" xfId="2" applyNumberFormat="1" applyFont="1" applyFill="1" applyBorder="1" applyAlignment="1">
      <alignment horizontal="center" vertical="center" textRotation="90" wrapText="1"/>
    </xf>
    <xf numFmtId="2" fontId="48" fillId="2" borderId="101" xfId="2" applyNumberFormat="1" applyFont="1" applyFill="1" applyBorder="1" applyAlignment="1">
      <alignment horizontal="center" vertical="center" textRotation="90" wrapText="1"/>
    </xf>
    <xf numFmtId="2" fontId="48" fillId="2" borderId="103" xfId="2" applyNumberFormat="1" applyFont="1" applyFill="1" applyBorder="1" applyAlignment="1">
      <alignment horizontal="center" vertical="center" textRotation="90" wrapText="1"/>
    </xf>
    <xf numFmtId="165" fontId="34" fillId="2" borderId="56" xfId="7" applyNumberFormat="1" applyFont="1" applyFill="1" applyBorder="1" applyAlignment="1">
      <alignment vertical="center" shrinkToFit="1"/>
    </xf>
    <xf numFmtId="165" fontId="34" fillId="2" borderId="55" xfId="7" applyNumberFormat="1" applyFont="1" applyFill="1" applyBorder="1" applyAlignment="1">
      <alignment vertical="center" shrinkToFit="1"/>
    </xf>
    <xf numFmtId="165" fontId="34" fillId="2" borderId="57" xfId="7" applyNumberFormat="1" applyFont="1" applyFill="1" applyBorder="1" applyAlignment="1">
      <alignment vertical="center" shrinkToFit="1"/>
    </xf>
    <xf numFmtId="0" fontId="32" fillId="2" borderId="1" xfId="2" applyNumberFormat="1" applyFont="1" applyFill="1" applyBorder="1" applyAlignment="1">
      <alignment horizontal="center" vertical="center" wrapText="1"/>
    </xf>
    <xf numFmtId="0" fontId="91" fillId="2" borderId="61" xfId="12" applyFont="1" applyFill="1" applyBorder="1" applyAlignment="1">
      <alignment horizontal="center" vertical="center" wrapText="1"/>
    </xf>
    <xf numFmtId="0" fontId="91" fillId="2" borderId="40" xfId="12" applyFont="1" applyFill="1" applyBorder="1" applyAlignment="1">
      <alignment horizontal="center" vertical="center" wrapText="1"/>
    </xf>
    <xf numFmtId="0" fontId="91" fillId="2" borderId="49" xfId="12" applyFont="1" applyFill="1" applyBorder="1" applyAlignment="1">
      <alignment horizontal="center" vertical="center" wrapText="1"/>
    </xf>
    <xf numFmtId="0" fontId="48" fillId="2" borderId="44" xfId="2" applyFont="1" applyFill="1" applyBorder="1" applyAlignment="1">
      <alignment horizontal="center" vertical="center" wrapText="1"/>
    </xf>
    <xf numFmtId="0" fontId="48" fillId="2" borderId="41" xfId="2" applyFont="1" applyFill="1" applyBorder="1" applyAlignment="1">
      <alignment horizontal="center" vertical="center" wrapText="1"/>
    </xf>
    <xf numFmtId="0" fontId="48" fillId="2" borderId="50" xfId="2" applyFont="1" applyFill="1" applyBorder="1" applyAlignment="1">
      <alignment horizontal="center" vertical="center" wrapText="1"/>
    </xf>
    <xf numFmtId="0" fontId="18" fillId="2" borderId="44" xfId="12" applyFont="1" applyFill="1" applyBorder="1" applyAlignment="1">
      <alignment horizontal="center" vertical="center" textRotation="90" wrapText="1"/>
    </xf>
    <xf numFmtId="0" fontId="18" fillId="2" borderId="41" xfId="12" applyFont="1" applyFill="1" applyBorder="1" applyAlignment="1">
      <alignment horizontal="center" vertical="center" textRotation="90" wrapText="1"/>
    </xf>
    <xf numFmtId="0" fontId="18" fillId="2" borderId="50" xfId="12" applyFont="1" applyFill="1" applyBorder="1" applyAlignment="1">
      <alignment horizontal="center" vertical="center" textRotation="90" wrapText="1"/>
    </xf>
    <xf numFmtId="0" fontId="48" fillId="2" borderId="59" xfId="2" applyFont="1" applyFill="1" applyBorder="1" applyAlignment="1">
      <alignment horizontal="center" vertical="center" textRotation="90" wrapText="1"/>
    </xf>
    <xf numFmtId="0" fontId="48" fillId="2" borderId="82" xfId="2" applyFont="1" applyFill="1" applyBorder="1" applyAlignment="1">
      <alignment horizontal="center" vertical="center" textRotation="90" wrapText="1"/>
    </xf>
    <xf numFmtId="0" fontId="48" fillId="2" borderId="60" xfId="2" applyFont="1" applyFill="1" applyBorder="1" applyAlignment="1">
      <alignment horizontal="center" vertical="center" textRotation="90" wrapText="1"/>
    </xf>
    <xf numFmtId="0" fontId="48" fillId="2" borderId="42" xfId="2" applyFont="1" applyFill="1" applyBorder="1" applyAlignment="1">
      <alignment horizontal="center" vertical="center" textRotation="90" wrapText="1"/>
    </xf>
    <xf numFmtId="0" fontId="48" fillId="2" borderId="0" xfId="2" applyFont="1" applyFill="1" applyBorder="1" applyAlignment="1">
      <alignment horizontal="center" vertical="center" textRotation="90" wrapText="1"/>
    </xf>
    <xf numFmtId="0" fontId="48" fillId="2" borderId="43" xfId="2" applyFont="1" applyFill="1" applyBorder="1" applyAlignment="1">
      <alignment horizontal="center" vertical="center" textRotation="90" wrapText="1"/>
    </xf>
    <xf numFmtId="0" fontId="48" fillId="2" borderId="51" xfId="2" applyFont="1" applyFill="1" applyBorder="1" applyAlignment="1">
      <alignment horizontal="center" vertical="center" textRotation="90" wrapText="1"/>
    </xf>
    <xf numFmtId="0" fontId="48" fillId="2" borderId="1" xfId="2" applyFont="1" applyFill="1" applyBorder="1" applyAlignment="1">
      <alignment horizontal="center" vertical="center" textRotation="90" wrapText="1"/>
    </xf>
    <xf numFmtId="0" fontId="48" fillId="2" borderId="52" xfId="2" applyFont="1" applyFill="1" applyBorder="1" applyAlignment="1">
      <alignment horizontal="center" vertical="center" textRotation="90" wrapText="1"/>
    </xf>
  </cellXfs>
  <cellStyles count="286">
    <cellStyle name="20% - Акцент1" xfId="13"/>
    <cellStyle name="20% - Акцент2" xfId="14"/>
    <cellStyle name="20% - Акцент3" xfId="15"/>
    <cellStyle name="20% - Акцент4" xfId="16"/>
    <cellStyle name="20% - Акцент5" xfId="17"/>
    <cellStyle name="20% - Акцент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Comma 2" xfId="31"/>
    <cellStyle name="Comma 2 2" xfId="32"/>
    <cellStyle name="Comma 3" xfId="33"/>
    <cellStyle name="Currency 2" xfId="34"/>
    <cellStyle name="Euro" xfId="35"/>
    <cellStyle name="Hyperlink 2" xfId="36"/>
    <cellStyle name="Normal 10" xfId="37"/>
    <cellStyle name="Normal 10 2" xfId="38"/>
    <cellStyle name="Normal 10 2 2 2" xfId="39"/>
    <cellStyle name="Normal 10 3" xfId="40"/>
    <cellStyle name="Normal 10 3 2" xfId="41"/>
    <cellStyle name="Normal 10 3 2 2" xfId="42"/>
    <cellStyle name="Normal 10 4" xfId="43"/>
    <cellStyle name="Normal 11" xfId="44"/>
    <cellStyle name="Normal 11 2" xfId="1"/>
    <cellStyle name="Normal 11 2 2" xfId="45"/>
    <cellStyle name="Normal 11 2 3" xfId="46"/>
    <cellStyle name="Normal 11 2 3 2" xfId="47"/>
    <cellStyle name="Normal 11 2 3 2 2" xfId="48"/>
    <cellStyle name="Normal 11 2 3 3" xfId="49"/>
    <cellStyle name="Normal 11 2 3 3 2 2" xfId="283"/>
    <cellStyle name="Normal 11 2 4" xfId="50"/>
    <cellStyle name="Normal 11 3" xfId="51"/>
    <cellStyle name="Normal 12" xfId="52"/>
    <cellStyle name="Normal 13" xfId="53"/>
    <cellStyle name="Normal 13 2" xfId="54"/>
    <cellStyle name="Normal 13 2 2" xfId="55"/>
    <cellStyle name="Normal 13 3" xfId="10"/>
    <cellStyle name="Normal 13 3 2" xfId="56"/>
    <cellStyle name="Normal 13 3 3" xfId="57"/>
    <cellStyle name="Normal 13 6" xfId="58"/>
    <cellStyle name="Normal 14" xfId="59"/>
    <cellStyle name="Normal 14 2" xfId="60"/>
    <cellStyle name="Normal 14 3" xfId="61"/>
    <cellStyle name="Normal 14 4" xfId="62"/>
    <cellStyle name="Normal 14 5" xfId="63"/>
    <cellStyle name="Normal 15" xfId="64"/>
    <cellStyle name="Normal 15 2" xfId="65"/>
    <cellStyle name="Normal 16" xfId="66"/>
    <cellStyle name="Normal 16 2" xfId="67"/>
    <cellStyle name="Normal 17" xfId="68"/>
    <cellStyle name="Normal 17 2" xfId="69"/>
    <cellStyle name="Normal 17 4" xfId="257"/>
    <cellStyle name="Normal 17 4 2" xfId="258"/>
    <cellStyle name="Normal 18" xfId="70"/>
    <cellStyle name="Normal 18 2" xfId="71"/>
    <cellStyle name="Normal 19" xfId="72"/>
    <cellStyle name="Normal 19 2" xfId="73"/>
    <cellStyle name="Normal 19 3" xfId="74"/>
    <cellStyle name="Normal 2" xfId="75"/>
    <cellStyle name="Normal 2 2" xfId="76"/>
    <cellStyle name="Normal 2 2 2" xfId="77"/>
    <cellStyle name="Normal 2 2 2 2" xfId="2"/>
    <cellStyle name="Normal 2 2 3" xfId="7"/>
    <cellStyle name="Normal 2 2 3 2" xfId="278"/>
    <cellStyle name="Normal 2 2_1-001-15 poliet" xfId="78"/>
    <cellStyle name="Normal 2 3" xfId="79"/>
    <cellStyle name="Normal 2 3 10" xfId="259"/>
    <cellStyle name="Normal 2 3 11" xfId="260"/>
    <cellStyle name="Normal 2 3 11 3" xfId="254"/>
    <cellStyle name="Normal 2 3 13" xfId="249"/>
    <cellStyle name="Normal 2 3 2" xfId="80"/>
    <cellStyle name="Normal 2 3 2 10" xfId="261"/>
    <cellStyle name="Normal 2 3 2 2" xfId="81"/>
    <cellStyle name="Normal 2 3 2 2 2" xfId="82"/>
    <cellStyle name="Normal 2 3 2 3" xfId="83"/>
    <cellStyle name="Normal 2 3 2 3 2" xfId="84"/>
    <cellStyle name="Normal 2 3 2 3 2 2" xfId="85"/>
    <cellStyle name="Normal 2 3 2 3 2 3" xfId="86"/>
    <cellStyle name="Normal 2 3 2 4" xfId="87"/>
    <cellStyle name="Normal 2 3 2 5" xfId="88"/>
    <cellStyle name="Normal 2 3 2 6" xfId="89"/>
    <cellStyle name="Normal 2 3 2 6 2" xfId="90"/>
    <cellStyle name="Normal 2 3 2 6 3" xfId="91"/>
    <cellStyle name="Normal 2 3 2 6 4" xfId="92"/>
    <cellStyle name="Normal 2 3 2 7" xfId="93"/>
    <cellStyle name="Normal 2 3 2 7 2" xfId="94"/>
    <cellStyle name="Normal 2 3 2 7 2 2" xfId="95"/>
    <cellStyle name="Normal 2 3 2 7 2 2 2" xfId="4"/>
    <cellStyle name="Normal 2 3 2 8" xfId="96"/>
    <cellStyle name="Normal 2 3 3" xfId="97"/>
    <cellStyle name="Normal 2 3 4" xfId="98"/>
    <cellStyle name="Normal 2 3 4 2" xfId="99"/>
    <cellStyle name="Normal 2 3 4 3" xfId="100"/>
    <cellStyle name="Normal 2 3 4 4" xfId="101"/>
    <cellStyle name="Normal 2 3 4 4 2" xfId="102"/>
    <cellStyle name="Normal 2 3 4 4 4 3" xfId="262"/>
    <cellStyle name="Normal 2 3 4 5" xfId="103"/>
    <cellStyle name="Normal 2 3 4 7" xfId="247"/>
    <cellStyle name="Normal 2 3 4 8" xfId="263"/>
    <cellStyle name="Normal 2 3 4 9" xfId="264"/>
    <cellStyle name="Normal 2 3 5" xfId="104"/>
    <cellStyle name="Normal 2 3 6" xfId="105"/>
    <cellStyle name="Normal 2 3 6 4" xfId="252"/>
    <cellStyle name="Normal 2 3 7" xfId="106"/>
    <cellStyle name="Normal 2 3 8" xfId="107"/>
    <cellStyle name="Normal 2 3 8 2" xfId="265"/>
    <cellStyle name="Normal 2 4" xfId="6"/>
    <cellStyle name="Normal 2 4 2" xfId="108"/>
    <cellStyle name="Normal 2 4 2 2" xfId="109"/>
    <cellStyle name="Normal 2 4 2 3" xfId="110"/>
    <cellStyle name="Normal 2 4 2 4" xfId="111"/>
    <cellStyle name="Normal 2 4 2 5" xfId="112"/>
    <cellStyle name="Normal 2 4 2 6" xfId="113"/>
    <cellStyle name="Normal 2 4 2 6 2" xfId="266"/>
    <cellStyle name="Normal 2 4 2 6 2 2" xfId="255"/>
    <cellStyle name="Normal 2 4 2 6 2 2 2" xfId="280"/>
    <cellStyle name="Normal 2 4 2 7" xfId="114"/>
    <cellStyle name="Normal 2 4 2 9" xfId="115"/>
    <cellStyle name="Normal 2 4 3" xfId="116"/>
    <cellStyle name="Normal 2 4 3 10" xfId="267"/>
    <cellStyle name="Normal 2 4 3 2" xfId="117"/>
    <cellStyle name="Normal 2 4 3 3" xfId="118"/>
    <cellStyle name="Normal 2 4 3 3 2" xfId="119"/>
    <cellStyle name="Normal 2 4 3 3 3" xfId="120"/>
    <cellStyle name="Normal 2 4 3 3 4" xfId="121"/>
    <cellStyle name="Normal 2 4 3 3 4 2" xfId="122"/>
    <cellStyle name="Normal 2 4 3 3 4 2 2" xfId="123"/>
    <cellStyle name="Normal 2 4 3 3 4 3" xfId="124"/>
    <cellStyle name="Normal 2 4 3 3 5" xfId="125"/>
    <cellStyle name="Normal 2 4 3 3 7" xfId="268"/>
    <cellStyle name="Normal 2 4 3 3 8" xfId="269"/>
    <cellStyle name="Normal 2 4 3 4" xfId="126"/>
    <cellStyle name="Normal 2 4 3 4 2" xfId="127"/>
    <cellStyle name="Normal 2 4 3 4 4" xfId="279"/>
    <cellStyle name="Normal 2 4 3 5" xfId="128"/>
    <cellStyle name="Normal 2 4 3 6" xfId="129"/>
    <cellStyle name="Normal 2 4 3 7" xfId="130"/>
    <cellStyle name="Normal 2 4 3 7 2" xfId="131"/>
    <cellStyle name="Normal 2 4 3 8" xfId="132"/>
    <cellStyle name="Normal 2 4 4" xfId="133"/>
    <cellStyle name="Normal 2 4 5" xfId="134"/>
    <cellStyle name="Normal 2 4 6" xfId="135"/>
    <cellStyle name="Normal 2 4 6 10" xfId="253"/>
    <cellStyle name="Normal 2 4 6 2" xfId="136"/>
    <cellStyle name="Normal 2 4 6 3" xfId="137"/>
    <cellStyle name="Normal 2 4 6 4" xfId="138"/>
    <cellStyle name="Normal 2 4 7" xfId="139"/>
    <cellStyle name="Normal 2 4 8" xfId="140"/>
    <cellStyle name="Normal 2 4_14-010-15" xfId="141"/>
    <cellStyle name="Normal 2 5" xfId="142"/>
    <cellStyle name="Normal 2 5 2" xfId="143"/>
    <cellStyle name="Normal 2 5 2 2" xfId="144"/>
    <cellStyle name="Normal 2 5 3" xfId="145"/>
    <cellStyle name="Normal 2 5 4" xfId="146"/>
    <cellStyle name="Normal 2 5 5" xfId="270"/>
    <cellStyle name="Normal 2 6" xfId="147"/>
    <cellStyle name="Normal 2 6 4" xfId="271"/>
    <cellStyle name="Normal 2 6 4 2" xfId="251"/>
    <cellStyle name="Normal 2 6 4 2 2" xfId="272"/>
    <cellStyle name="Normal 2 7" xfId="148"/>
    <cellStyle name="Normal 2_17-013-15 Ashtarak-kosh ZU" xfId="149"/>
    <cellStyle name="Normal 20" xfId="150"/>
    <cellStyle name="Normal 21" xfId="151"/>
    <cellStyle name="Normal 21 2" xfId="276"/>
    <cellStyle name="Normal 22" xfId="152"/>
    <cellStyle name="Normal 23" xfId="8"/>
    <cellStyle name="Normal 23 2" xfId="153"/>
    <cellStyle name="Normal 24" xfId="273"/>
    <cellStyle name="Normal 25" xfId="277"/>
    <cellStyle name="Normal 26" xfId="284"/>
    <cellStyle name="Normal 3" xfId="154"/>
    <cellStyle name="Normal 3 2" xfId="155"/>
    <cellStyle name="Normal 3 2 2" xfId="3"/>
    <cellStyle name="Normal 3 2 2 2" xfId="248"/>
    <cellStyle name="Normal 3 2 3" xfId="156"/>
    <cellStyle name="Normal 3 3" xfId="157"/>
    <cellStyle name="Normal 3 3 2" xfId="158"/>
    <cellStyle name="Normal 3 4" xfId="159"/>
    <cellStyle name="Normal 3 5" xfId="160"/>
    <cellStyle name="Normal 3_18-029-15" xfId="161"/>
    <cellStyle name="Normal 4" xfId="162"/>
    <cellStyle name="Normal 4 2" xfId="163"/>
    <cellStyle name="Normal 4 3" xfId="164"/>
    <cellStyle name="Normal 5" xfId="165"/>
    <cellStyle name="Normal 5 2" xfId="166"/>
    <cellStyle name="Normal 6" xfId="167"/>
    <cellStyle name="Normal 6 2" xfId="11"/>
    <cellStyle name="Normal 6 2 2" xfId="168"/>
    <cellStyle name="Normal 6 2 3" xfId="169"/>
    <cellStyle name="Normal 6 2 4" xfId="170"/>
    <cellStyle name="Normal 6 2 5" xfId="171"/>
    <cellStyle name="Normal 6 3" xfId="172"/>
    <cellStyle name="Normal 7" xfId="173"/>
    <cellStyle name="Normal 7 10" xfId="174"/>
    <cellStyle name="Normal 7 11" xfId="175"/>
    <cellStyle name="Normal 7 16" xfId="256"/>
    <cellStyle name="Normal 7 2" xfId="176"/>
    <cellStyle name="Normal 7 2 2" xfId="177"/>
    <cellStyle name="Normal 7 2 3" xfId="178"/>
    <cellStyle name="Normal 7 2 3 2" xfId="179"/>
    <cellStyle name="Normal 7 2 4" xfId="180"/>
    <cellStyle name="Normal 7 3" xfId="181"/>
    <cellStyle name="Normal 7 3 2" xfId="182"/>
    <cellStyle name="Normal 7 4" xfId="183"/>
    <cellStyle name="Normal 7 5" xfId="184"/>
    <cellStyle name="Normal 7 5 2" xfId="185"/>
    <cellStyle name="Normal 7 6" xfId="186"/>
    <cellStyle name="Normal 7 6 2" xfId="187"/>
    <cellStyle name="Normal 7 7" xfId="188"/>
    <cellStyle name="Normal 7 8" xfId="189"/>
    <cellStyle name="Normal 7 9" xfId="190"/>
    <cellStyle name="Normal 8" xfId="12"/>
    <cellStyle name="Normal 8 10" xfId="191"/>
    <cellStyle name="Normal 8 10 2 2" xfId="274"/>
    <cellStyle name="Normal 8 2" xfId="192"/>
    <cellStyle name="Normal 8 2 2" xfId="193"/>
    <cellStyle name="Normal 8 2 2 3" xfId="285"/>
    <cellStyle name="Normal 8 2 3" xfId="194"/>
    <cellStyle name="Normal 8 2 3 11" xfId="250"/>
    <cellStyle name="Normal 8 2 3 2" xfId="195"/>
    <cellStyle name="Normal 8 2 3 3" xfId="196"/>
    <cellStyle name="Normal 8 2 3 4" xfId="197"/>
    <cellStyle name="Normal 8 2 4" xfId="198"/>
    <cellStyle name="Normal 8 3" xfId="199"/>
    <cellStyle name="Normal 8 3 2" xfId="200"/>
    <cellStyle name="Normal 8 3 3" xfId="201"/>
    <cellStyle name="Normal 8 3 7" xfId="275"/>
    <cellStyle name="Normal 8 4" xfId="202"/>
    <cellStyle name="Normal 8 5" xfId="203"/>
    <cellStyle name="Normal 8 5 2" xfId="204"/>
    <cellStyle name="Normal 8 5 3" xfId="205"/>
    <cellStyle name="Normal 8 6" xfId="206"/>
    <cellStyle name="Normal 8 7" xfId="207"/>
    <cellStyle name="Normal 8 8" xfId="208"/>
    <cellStyle name="Normal 8 9" xfId="209"/>
    <cellStyle name="Normal 9" xfId="210"/>
    <cellStyle name="Normal 9 2" xfId="211"/>
    <cellStyle name="Normal 9 3" xfId="212"/>
    <cellStyle name="Normal 9 4" xfId="213"/>
    <cellStyle name="Normal 9 5" xfId="214"/>
    <cellStyle name="Normal 9 6" xfId="215"/>
    <cellStyle name="Normal_Artchut-2_plotina 3 2" xfId="5"/>
    <cellStyle name="Normal_Asfalt  2" xfId="281"/>
    <cellStyle name="Normal_Haykashen dproc  2" xfId="282"/>
    <cellStyle name="Акцент1" xfId="216"/>
    <cellStyle name="Акцент2" xfId="217"/>
    <cellStyle name="Акцент3" xfId="218"/>
    <cellStyle name="Акцент4" xfId="219"/>
    <cellStyle name="Акцент5" xfId="220"/>
    <cellStyle name="Акцент6" xfId="221"/>
    <cellStyle name="Ввод " xfId="222"/>
    <cellStyle name="Вывод" xfId="223"/>
    <cellStyle name="Вычисление" xfId="224"/>
    <cellStyle name="Денежный 2" xfId="225"/>
    <cellStyle name="Заголовок 1" xfId="226"/>
    <cellStyle name="Заголовок 2" xfId="227"/>
    <cellStyle name="Заголовок 3" xfId="228"/>
    <cellStyle name="Заголовок 4" xfId="229"/>
    <cellStyle name="Итог" xfId="230"/>
    <cellStyle name="Контрольная ячейка" xfId="231"/>
    <cellStyle name="Название" xfId="232"/>
    <cellStyle name="Нейтральный" xfId="233"/>
    <cellStyle name="Обычный" xfId="0" builtinId="0"/>
    <cellStyle name="Обычный 2" xfId="9"/>
    <cellStyle name="Обычный 2 2" xfId="234"/>
    <cellStyle name="Обычный 2 2 2" xfId="235"/>
    <cellStyle name="Обычный 2 3" xfId="236"/>
    <cellStyle name="Обычный 3" xfId="237"/>
    <cellStyle name="Обычный 3 2" xfId="238"/>
    <cellStyle name="Плохой" xfId="239"/>
    <cellStyle name="Пояснение" xfId="240"/>
    <cellStyle name="Примечание" xfId="241"/>
    <cellStyle name="Примечание 2" xfId="242"/>
    <cellStyle name="Связанная ячейка" xfId="243"/>
    <cellStyle name="Текст предупреждения" xfId="244"/>
    <cellStyle name="Финансовый 2" xfId="245"/>
    <cellStyle name="Хороший" xfId="24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28</xdr:row>
      <xdr:rowOff>0</xdr:rowOff>
    </xdr:from>
    <xdr:to>
      <xdr:col>2</xdr:col>
      <xdr:colOff>0</xdr:colOff>
      <xdr:row>28</xdr:row>
      <xdr:rowOff>180976</xdr:rowOff>
    </xdr:to>
    <xdr:pic>
      <xdr:nvPicPr>
        <xdr:cNvPr id="1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515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1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2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93605</xdr:rowOff>
    </xdr:to>
    <xdr:pic>
      <xdr:nvPicPr>
        <xdr:cNvPr id="3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5669875"/>
          <a:ext cx="0" cy="25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3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4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292</xdr:row>
      <xdr:rowOff>0</xdr:rowOff>
    </xdr:from>
    <xdr:ext cx="3284" cy="256189"/>
    <xdr:pic>
      <xdr:nvPicPr>
        <xdr:cNvPr id="5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1128950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5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6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292</xdr:row>
      <xdr:rowOff>0</xdr:rowOff>
    </xdr:from>
    <xdr:to>
      <xdr:col>2</xdr:col>
      <xdr:colOff>0</xdr:colOff>
      <xdr:row>293</xdr:row>
      <xdr:rowOff>95249</xdr:rowOff>
    </xdr:to>
    <xdr:pic>
      <xdr:nvPicPr>
        <xdr:cNvPr id="7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5910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892" name="Picture 89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8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8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8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8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8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8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8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9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101</xdr:row>
      <xdr:rowOff>0</xdr:rowOff>
    </xdr:from>
    <xdr:ext cx="3727" cy="182218"/>
    <xdr:pic>
      <xdr:nvPicPr>
        <xdr:cNvPr id="10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4828761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0" name="Picture 1069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0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1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103</xdr:row>
      <xdr:rowOff>0</xdr:rowOff>
    </xdr:from>
    <xdr:ext cx="3727" cy="182218"/>
    <xdr:pic>
      <xdr:nvPicPr>
        <xdr:cNvPr id="12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182880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48" name="Picture 1247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2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3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129</xdr:row>
      <xdr:rowOff>0</xdr:rowOff>
    </xdr:from>
    <xdr:ext cx="3727" cy="182218"/>
    <xdr:pic>
      <xdr:nvPicPr>
        <xdr:cNvPr id="14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26" name="Picture 1425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4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5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6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6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6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6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04" name="Picture 1603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6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103</xdr:row>
      <xdr:rowOff>0</xdr:rowOff>
    </xdr:from>
    <xdr:ext cx="3727" cy="182218"/>
    <xdr:pic>
      <xdr:nvPicPr>
        <xdr:cNvPr id="17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50707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82" name="Picture 178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7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8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101</xdr:row>
      <xdr:rowOff>0</xdr:rowOff>
    </xdr:from>
    <xdr:ext cx="3727" cy="182218"/>
    <xdr:pic>
      <xdr:nvPicPr>
        <xdr:cNvPr id="19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0" name="Picture 1959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19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0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129</xdr:row>
      <xdr:rowOff>0</xdr:rowOff>
    </xdr:from>
    <xdr:ext cx="3727" cy="182218"/>
    <xdr:pic>
      <xdr:nvPicPr>
        <xdr:cNvPr id="21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29815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38" name="Picture 2137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1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2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146</xdr:row>
      <xdr:rowOff>0</xdr:rowOff>
    </xdr:from>
    <xdr:ext cx="3727" cy="182218"/>
    <xdr:pic>
      <xdr:nvPicPr>
        <xdr:cNvPr id="23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16" name="Picture 2315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3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4" name="Picture 2493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4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5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146</xdr:row>
      <xdr:rowOff>0</xdr:rowOff>
    </xdr:from>
    <xdr:ext cx="3727" cy="182218"/>
    <xdr:pic>
      <xdr:nvPicPr>
        <xdr:cNvPr id="26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80594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6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7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8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29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0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1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2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2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2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2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2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179</xdr:row>
      <xdr:rowOff>0</xdr:rowOff>
    </xdr:from>
    <xdr:ext cx="3284" cy="256189"/>
    <xdr:pic>
      <xdr:nvPicPr>
        <xdr:cNvPr id="32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095875"/>
          <a:ext cx="3284" cy="2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06" name="Line 71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07" name="Line 72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08" name="Line 73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09" name="Line 74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0" name="Line 75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1" name="Line 76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2" name="Line 77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3" name="Line 78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4" name="Line 79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5" name="Line 80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6" name="Line 81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7" name="Line 82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8" name="Line 83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19" name="Line 84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0" name="Line 85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1" name="Line 86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2" name="Line 87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3" name="Line 88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4" name="Line 89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5" name="Line 90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6" name="Line 91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7" name="Line 92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8" name="Line 93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29" name="Line 94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30" name="Line 95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31" name="Line 96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32" name="Line 97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183</xdr:row>
      <xdr:rowOff>0</xdr:rowOff>
    </xdr:from>
    <xdr:to>
      <xdr:col>11</xdr:col>
      <xdr:colOff>38100</xdr:colOff>
      <xdr:row>183</xdr:row>
      <xdr:rowOff>0</xdr:rowOff>
    </xdr:to>
    <xdr:sp macro="" textlink="">
      <xdr:nvSpPr>
        <xdr:cNvPr id="3233" name="Line 98"/>
        <xdr:cNvSpPr>
          <a:spLocks noChangeShapeType="1"/>
        </xdr:cNvSpPr>
      </xdr:nvSpPr>
      <xdr:spPr bwMode="auto">
        <a:xfrm>
          <a:off x="5172075" y="57721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34" name="Picture 3233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2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3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200</xdr:row>
      <xdr:rowOff>0</xdr:rowOff>
    </xdr:from>
    <xdr:ext cx="3727" cy="182218"/>
    <xdr:pic>
      <xdr:nvPicPr>
        <xdr:cNvPr id="34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12" name="Picture 341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4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200</xdr:row>
      <xdr:rowOff>0</xdr:rowOff>
    </xdr:from>
    <xdr:ext cx="3727" cy="182218"/>
    <xdr:pic>
      <xdr:nvPicPr>
        <xdr:cNvPr id="35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23583900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0" name="Picture 3589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5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6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752475</xdr:colOff>
      <xdr:row>229</xdr:row>
      <xdr:rowOff>0</xdr:rowOff>
    </xdr:from>
    <xdr:ext cx="3727" cy="182218"/>
    <xdr:pic>
      <xdr:nvPicPr>
        <xdr:cNvPr id="37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38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68" name="Picture 3767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7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4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5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6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7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8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89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0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1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6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7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3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40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41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4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43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44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752475</xdr:colOff>
      <xdr:row>229</xdr:row>
      <xdr:rowOff>0</xdr:rowOff>
    </xdr:from>
    <xdr:ext cx="3727" cy="182218"/>
    <xdr:pic>
      <xdr:nvPicPr>
        <xdr:cNvPr id="3945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B"/>
            </a:clrFrom>
            <a:clrTo>
              <a:srgbClr val="FF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601" y="38116565"/>
          <a:ext cx="3727" cy="18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329;&#1398;&#1392;&#1377;&#1407;&#1377;&#1391;&#1377;&#1398;/&#1329;&#1402;&#1408;&#1387;&#1388;,,,,/&#1329;&#1404;&#1387;&#1398;&#1403;%20&#1407;&#1398;&#1377;&#13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 "/>
      <sheetName val="ԱՄՓՈՓ  "/>
      <sheetName val="ln 1"/>
      <sheetName val="ծավալ"/>
    </sheetNames>
    <sheetDataSet>
      <sheetData sheetId="0"/>
      <sheetData sheetId="1"/>
      <sheetData sheetId="2">
        <row r="9">
          <cell r="C9" t="str">
            <v xml:space="preserve">№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SheetLayoutView="100" workbookViewId="0">
      <selection activeCell="B14" sqref="B14:L14"/>
    </sheetView>
  </sheetViews>
  <sheetFormatPr defaultRowHeight="15"/>
  <cols>
    <col min="1" max="1" width="2.28515625" style="1" customWidth="1"/>
    <col min="2" max="5" width="9.140625" style="1"/>
    <col min="6" max="6" width="12" style="1" customWidth="1"/>
    <col min="7" max="7" width="9.7109375" style="1" customWidth="1"/>
    <col min="8" max="8" width="3.28515625" style="1" customWidth="1"/>
    <col min="9" max="9" width="9.7109375" style="1" bestFit="1" customWidth="1"/>
    <col min="10" max="10" width="9.140625" style="1"/>
    <col min="11" max="11" width="6.85546875" style="1" customWidth="1"/>
    <col min="12" max="12" width="6.28515625" style="1" customWidth="1"/>
    <col min="13" max="13" width="5.7109375" style="1" customWidth="1"/>
    <col min="14" max="16384" width="9.140625" style="1"/>
  </cols>
  <sheetData>
    <row r="1" spans="1:12">
      <c r="A1" s="946" t="str">
        <f>+'[1]ln 1'!C9</f>
        <v xml:space="preserve">№ </v>
      </c>
      <c r="B1" s="946"/>
      <c r="C1" s="946"/>
    </row>
    <row r="2" spans="1:12">
      <c r="A2" s="947"/>
      <c r="B2" s="947"/>
      <c r="C2" s="947"/>
      <c r="D2" s="2"/>
      <c r="E2" s="2"/>
      <c r="F2" s="2"/>
      <c r="G2" s="2"/>
      <c r="H2" s="2"/>
      <c r="I2" s="2"/>
      <c r="J2" s="2"/>
      <c r="K2" s="2"/>
      <c r="L2" s="2"/>
    </row>
    <row r="3" spans="1:12" ht="78" customHeight="1">
      <c r="B3" s="948" t="str">
        <f>+'1'!D1</f>
        <v>Վայոց Ձորի Եղեգիս համայնքի բնակավայրերի խմելու ջրի արտաքին ցանցի վերանորոգում</v>
      </c>
      <c r="C3" s="948"/>
      <c r="D3" s="948"/>
      <c r="E3" s="948"/>
      <c r="F3" s="948"/>
      <c r="G3" s="948"/>
      <c r="H3" s="948"/>
      <c r="I3" s="948"/>
      <c r="J3" s="948"/>
      <c r="K3" s="948"/>
      <c r="L3" s="3"/>
    </row>
    <row r="4" spans="1:12">
      <c r="B4" s="939"/>
      <c r="C4" s="939"/>
      <c r="D4" s="939"/>
      <c r="E4" s="939"/>
      <c r="F4" s="939"/>
      <c r="G4" s="939"/>
      <c r="H4" s="939"/>
      <c r="I4" s="939"/>
      <c r="J4" s="939"/>
      <c r="K4" s="939"/>
      <c r="L4" s="939"/>
    </row>
    <row r="5" spans="1:12" ht="15.75">
      <c r="B5" s="949" t="s">
        <v>0</v>
      </c>
      <c r="C5" s="949"/>
      <c r="D5" s="949"/>
      <c r="E5" s="949"/>
      <c r="F5" s="949"/>
      <c r="G5" s="949"/>
      <c r="H5" s="949"/>
      <c r="I5" s="949"/>
      <c r="J5" s="949"/>
      <c r="K5" s="949"/>
      <c r="L5" s="949"/>
    </row>
    <row r="6" spans="1:12">
      <c r="B6" s="939"/>
      <c r="C6" s="939"/>
      <c r="D6" s="939"/>
      <c r="E6" s="939"/>
      <c r="F6" s="939"/>
      <c r="G6" s="939"/>
      <c r="H6" s="939"/>
      <c r="I6" s="939"/>
      <c r="J6" s="939"/>
      <c r="K6" s="939"/>
      <c r="L6" s="939"/>
    </row>
    <row r="7" spans="1:12" s="308" customFormat="1" ht="25.5" customHeight="1">
      <c r="B7" s="943" t="s">
        <v>4</v>
      </c>
      <c r="C7" s="943"/>
      <c r="D7" s="943"/>
      <c r="E7" s="943"/>
      <c r="F7" s="943"/>
      <c r="G7" s="943"/>
      <c r="H7" s="943"/>
      <c r="I7" s="943"/>
      <c r="J7" s="943"/>
      <c r="K7" s="943"/>
      <c r="L7" s="943"/>
    </row>
    <row r="8" spans="1:12" s="308" customFormat="1" ht="25.5" customHeight="1">
      <c r="B8" s="944" t="s">
        <v>1</v>
      </c>
      <c r="C8" s="944"/>
      <c r="D8" s="944"/>
      <c r="E8" s="944"/>
      <c r="F8" s="944"/>
      <c r="G8" s="944"/>
      <c r="H8" s="944"/>
      <c r="I8" s="944"/>
      <c r="J8" s="944"/>
      <c r="K8" s="944"/>
      <c r="L8" s="944"/>
    </row>
    <row r="9" spans="1:12" s="308" customFormat="1" ht="25.5" customHeight="1">
      <c r="B9" s="940" t="s">
        <v>2</v>
      </c>
      <c r="C9" s="940"/>
      <c r="D9" s="940"/>
      <c r="E9" s="940"/>
      <c r="F9" s="940"/>
      <c r="G9" s="940"/>
      <c r="H9" s="940"/>
      <c r="I9" s="940"/>
      <c r="J9" s="940"/>
      <c r="K9" s="940"/>
      <c r="L9" s="940"/>
    </row>
    <row r="10" spans="1:12" s="308" customFormat="1" ht="25.5" customHeight="1">
      <c r="B10" s="940" t="s">
        <v>3</v>
      </c>
      <c r="C10" s="940"/>
      <c r="D10" s="940"/>
      <c r="E10" s="940"/>
      <c r="F10" s="940"/>
      <c r="G10" s="940"/>
      <c r="H10" s="940"/>
      <c r="I10" s="940"/>
      <c r="J10" s="940"/>
      <c r="K10" s="940"/>
      <c r="L10" s="940"/>
    </row>
    <row r="11" spans="1:12" s="308" customFormat="1" ht="25.5" customHeight="1">
      <c r="B11" s="940" t="s">
        <v>4</v>
      </c>
      <c r="C11" s="940"/>
      <c r="D11" s="940"/>
      <c r="E11" s="940"/>
      <c r="F11" s="940"/>
      <c r="G11" s="940"/>
      <c r="H11" s="940"/>
      <c r="I11" s="940"/>
      <c r="J11" s="940"/>
      <c r="K11" s="940"/>
      <c r="L11" s="940"/>
    </row>
    <row r="12" spans="1:12" s="308" customFormat="1" ht="25.5" customHeight="1">
      <c r="B12" s="940" t="s">
        <v>5</v>
      </c>
      <c r="C12" s="940"/>
      <c r="D12" s="940"/>
      <c r="E12" s="940"/>
      <c r="F12" s="940"/>
      <c r="G12" s="940"/>
      <c r="H12" s="940"/>
      <c r="I12" s="940"/>
      <c r="J12" s="940"/>
      <c r="K12" s="940"/>
      <c r="L12" s="940"/>
    </row>
    <row r="13" spans="1:12" s="308" customFormat="1" ht="25.5" customHeight="1">
      <c r="B13" s="940" t="s">
        <v>6</v>
      </c>
      <c r="C13" s="940"/>
      <c r="D13" s="940"/>
      <c r="E13" s="940"/>
      <c r="F13" s="940"/>
      <c r="G13" s="940"/>
      <c r="H13" s="940"/>
      <c r="I13" s="940"/>
      <c r="J13" s="940"/>
      <c r="K13" s="940"/>
      <c r="L13" s="940"/>
    </row>
    <row r="14" spans="1:12" s="308" customFormat="1" ht="25.5" customHeight="1">
      <c r="B14" s="945" t="s">
        <v>336</v>
      </c>
      <c r="C14" s="945"/>
      <c r="D14" s="945"/>
      <c r="E14" s="945"/>
      <c r="F14" s="945"/>
      <c r="G14" s="945"/>
      <c r="H14" s="945"/>
      <c r="I14" s="945"/>
      <c r="J14" s="945"/>
      <c r="K14" s="945"/>
      <c r="L14" s="945"/>
    </row>
    <row r="15" spans="1:12" s="308" customFormat="1" ht="25.5" customHeight="1">
      <c r="B15" s="940" t="s">
        <v>7</v>
      </c>
      <c r="C15" s="940"/>
      <c r="D15" s="940"/>
      <c r="E15" s="940"/>
      <c r="F15" s="940"/>
      <c r="G15" s="940"/>
      <c r="H15" s="940"/>
      <c r="I15" s="940"/>
      <c r="J15" s="940"/>
      <c r="K15" s="940"/>
      <c r="L15" s="940"/>
    </row>
    <row r="16" spans="1:12" s="308" customFormat="1" ht="25.5" customHeight="1">
      <c r="B16" s="308" t="s">
        <v>8</v>
      </c>
      <c r="G16" s="308">
        <f>+'1'!D11</f>
        <v>252984</v>
      </c>
      <c r="H16" s="308" t="s">
        <v>9</v>
      </c>
    </row>
    <row r="17" spans="2:12" s="308" customFormat="1" ht="25.5" customHeight="1">
      <c r="B17" s="308" t="s">
        <v>10</v>
      </c>
      <c r="G17" s="4">
        <f>+'1'!J13</f>
        <v>2337</v>
      </c>
      <c r="H17" s="308" t="s">
        <v>11</v>
      </c>
    </row>
    <row r="18" spans="2:12" s="308" customFormat="1" ht="25.5" customHeight="1">
      <c r="B18" s="308" t="s">
        <v>12</v>
      </c>
      <c r="I18" s="4">
        <f>+'1'!Q13</f>
        <v>3222.81</v>
      </c>
      <c r="J18" s="308" t="s">
        <v>11</v>
      </c>
    </row>
    <row r="19" spans="2:12" s="308" customFormat="1" ht="25.5" customHeight="1">
      <c r="B19" s="940" t="s">
        <v>13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</row>
    <row r="20" spans="2:12" s="308" customFormat="1" ht="25.5" customHeight="1">
      <c r="B20" s="940" t="s">
        <v>14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</row>
    <row r="21" spans="2:12" s="308" customFormat="1" ht="25.5" customHeight="1">
      <c r="B21" s="308" t="s">
        <v>15</v>
      </c>
      <c r="F21" s="5">
        <f>(('1'!N11/1.02/1.05)-1)*100</f>
        <v>7.6100000000000279</v>
      </c>
      <c r="G21" s="308" t="s">
        <v>16</v>
      </c>
    </row>
    <row r="22" spans="2:12" s="308" customFormat="1" ht="25.5" customHeight="1">
      <c r="B22" s="940" t="s">
        <v>17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</row>
    <row r="23" spans="2:12" s="308" customFormat="1" ht="25.5" customHeight="1">
      <c r="B23" s="940" t="s">
        <v>18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</row>
    <row r="24" spans="2:12" s="308" customFormat="1" ht="25.5" customHeight="1">
      <c r="B24" s="940" t="s">
        <v>19</v>
      </c>
      <c r="C24" s="940"/>
      <c r="D24" s="940"/>
      <c r="E24" s="940"/>
      <c r="F24" s="940"/>
      <c r="G24" s="940"/>
      <c r="H24" s="940"/>
      <c r="I24" s="940"/>
      <c r="J24" s="940"/>
      <c r="K24" s="940"/>
      <c r="L24" s="940"/>
    </row>
    <row r="25" spans="2:12" ht="22.5" customHeight="1">
      <c r="B25" s="941"/>
      <c r="C25" s="941"/>
      <c r="D25" s="941"/>
      <c r="E25" s="941"/>
      <c r="F25" s="941"/>
      <c r="G25" s="941"/>
      <c r="H25" s="941"/>
      <c r="I25" s="941"/>
      <c r="J25" s="941"/>
      <c r="K25" s="941"/>
      <c r="L25" s="941"/>
    </row>
    <row r="26" spans="2:12">
      <c r="B26" s="939"/>
      <c r="C26" s="939"/>
      <c r="D26" s="939"/>
      <c r="E26" s="939"/>
      <c r="F26" s="939"/>
      <c r="G26" s="939"/>
      <c r="H26" s="939"/>
      <c r="I26" s="939"/>
      <c r="J26" s="939"/>
      <c r="K26" s="939"/>
      <c r="L26" s="939"/>
    </row>
    <row r="27" spans="2:12">
      <c r="B27" s="939"/>
      <c r="C27" s="939"/>
      <c r="D27" s="939"/>
      <c r="E27" s="939"/>
      <c r="F27" s="939"/>
      <c r="G27" s="939"/>
      <c r="H27" s="939"/>
      <c r="I27" s="939"/>
      <c r="J27" s="939"/>
      <c r="K27" s="939"/>
      <c r="L27" s="939"/>
    </row>
    <row r="28" spans="2:12">
      <c r="B28" s="942" t="s">
        <v>145</v>
      </c>
      <c r="C28" s="942"/>
      <c r="D28" s="942"/>
      <c r="E28" s="942"/>
      <c r="F28" s="942"/>
      <c r="G28" s="942"/>
      <c r="H28" s="942"/>
      <c r="I28" s="942"/>
      <c r="J28" s="942"/>
      <c r="K28" s="942"/>
      <c r="L28" s="942"/>
    </row>
    <row r="29" spans="2:12"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</row>
  </sheetData>
  <mergeCells count="25">
    <mergeCell ref="B6:L6"/>
    <mergeCell ref="A1:C1"/>
    <mergeCell ref="A2:C2"/>
    <mergeCell ref="B3:K3"/>
    <mergeCell ref="B4:L4"/>
    <mergeCell ref="B5:L5"/>
    <mergeCell ref="B22:L22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B19:L19"/>
    <mergeCell ref="B20:L20"/>
    <mergeCell ref="B29:L29"/>
    <mergeCell ref="B23:L23"/>
    <mergeCell ref="B24:L24"/>
    <mergeCell ref="B25:L25"/>
    <mergeCell ref="B26:L26"/>
    <mergeCell ref="B27:L27"/>
    <mergeCell ref="B28:L28"/>
  </mergeCells>
  <printOptions horizontalCentered="1"/>
  <pageMargins left="0" right="0" top="0.2" bottom="0.2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79"/>
  <sheetViews>
    <sheetView view="pageBreakPreview" zoomScaleSheetLayoutView="100" workbookViewId="0">
      <selection activeCell="C37" sqref="C37"/>
    </sheetView>
  </sheetViews>
  <sheetFormatPr defaultRowHeight="15.75"/>
  <cols>
    <col min="1" max="1" width="5.5703125" style="8" customWidth="1"/>
    <col min="2" max="2" width="11.28515625" style="8" customWidth="1"/>
    <col min="3" max="3" width="54.28515625" style="8" customWidth="1"/>
    <col min="4" max="4" width="12.85546875" style="8" customWidth="1"/>
    <col min="5" max="5" width="12.85546875" style="113" customWidth="1"/>
    <col min="6" max="7" width="12.85546875" style="8" customWidth="1"/>
    <col min="8" max="8" width="14.42578125" style="8" customWidth="1"/>
    <col min="9" max="9" width="14.140625" style="8" customWidth="1"/>
    <col min="10" max="10" width="10.7109375" style="8" bestFit="1" customWidth="1"/>
    <col min="11" max="236" width="9.140625" style="8"/>
    <col min="237" max="237" width="4.42578125" style="8" customWidth="1"/>
    <col min="238" max="238" width="17.85546875" style="8" customWidth="1"/>
    <col min="239" max="239" width="39.28515625" style="8" customWidth="1"/>
    <col min="240" max="240" width="16.5703125" style="8" customWidth="1"/>
    <col min="241" max="241" width="17.5703125" style="8" customWidth="1"/>
    <col min="242" max="242" width="16.140625" style="8" customWidth="1"/>
    <col min="243" max="243" width="14.28515625" style="8" customWidth="1"/>
    <col min="244" max="244" width="21" style="8" customWidth="1"/>
    <col min="245" max="245" width="12.140625" style="8" customWidth="1"/>
    <col min="246" max="246" width="10.7109375" style="8" bestFit="1" customWidth="1"/>
    <col min="247" max="492" width="9.140625" style="8"/>
    <col min="493" max="493" width="4.42578125" style="8" customWidth="1"/>
    <col min="494" max="494" width="17.85546875" style="8" customWidth="1"/>
    <col min="495" max="495" width="39.28515625" style="8" customWidth="1"/>
    <col min="496" max="496" width="16.5703125" style="8" customWidth="1"/>
    <col min="497" max="497" width="17.5703125" style="8" customWidth="1"/>
    <col min="498" max="498" width="16.140625" style="8" customWidth="1"/>
    <col min="499" max="499" width="14.28515625" style="8" customWidth="1"/>
    <col min="500" max="500" width="21" style="8" customWidth="1"/>
    <col min="501" max="501" width="12.140625" style="8" customWidth="1"/>
    <col min="502" max="502" width="10.7109375" style="8" bestFit="1" customWidth="1"/>
    <col min="503" max="748" width="9.140625" style="8"/>
    <col min="749" max="749" width="4.42578125" style="8" customWidth="1"/>
    <col min="750" max="750" width="17.85546875" style="8" customWidth="1"/>
    <col min="751" max="751" width="39.28515625" style="8" customWidth="1"/>
    <col min="752" max="752" width="16.5703125" style="8" customWidth="1"/>
    <col min="753" max="753" width="17.5703125" style="8" customWidth="1"/>
    <col min="754" max="754" width="16.140625" style="8" customWidth="1"/>
    <col min="755" max="755" width="14.28515625" style="8" customWidth="1"/>
    <col min="756" max="756" width="21" style="8" customWidth="1"/>
    <col min="757" max="757" width="12.140625" style="8" customWidth="1"/>
    <col min="758" max="758" width="10.7109375" style="8" bestFit="1" customWidth="1"/>
    <col min="759" max="1004" width="9.140625" style="8"/>
    <col min="1005" max="1005" width="4.42578125" style="8" customWidth="1"/>
    <col min="1006" max="1006" width="17.85546875" style="8" customWidth="1"/>
    <col min="1007" max="1007" width="39.28515625" style="8" customWidth="1"/>
    <col min="1008" max="1008" width="16.5703125" style="8" customWidth="1"/>
    <col min="1009" max="1009" width="17.5703125" style="8" customWidth="1"/>
    <col min="1010" max="1010" width="16.140625" style="8" customWidth="1"/>
    <col min="1011" max="1011" width="14.28515625" style="8" customWidth="1"/>
    <col min="1012" max="1012" width="21" style="8" customWidth="1"/>
    <col min="1013" max="1013" width="12.140625" style="8" customWidth="1"/>
    <col min="1014" max="1014" width="10.7109375" style="8" bestFit="1" customWidth="1"/>
    <col min="1015" max="1260" width="9.140625" style="8"/>
    <col min="1261" max="1261" width="4.42578125" style="8" customWidth="1"/>
    <col min="1262" max="1262" width="17.85546875" style="8" customWidth="1"/>
    <col min="1263" max="1263" width="39.28515625" style="8" customWidth="1"/>
    <col min="1264" max="1264" width="16.5703125" style="8" customWidth="1"/>
    <col min="1265" max="1265" width="17.5703125" style="8" customWidth="1"/>
    <col min="1266" max="1266" width="16.140625" style="8" customWidth="1"/>
    <col min="1267" max="1267" width="14.28515625" style="8" customWidth="1"/>
    <col min="1268" max="1268" width="21" style="8" customWidth="1"/>
    <col min="1269" max="1269" width="12.140625" style="8" customWidth="1"/>
    <col min="1270" max="1270" width="10.7109375" style="8" bestFit="1" customWidth="1"/>
    <col min="1271" max="1516" width="9.140625" style="8"/>
    <col min="1517" max="1517" width="4.42578125" style="8" customWidth="1"/>
    <col min="1518" max="1518" width="17.85546875" style="8" customWidth="1"/>
    <col min="1519" max="1519" width="39.28515625" style="8" customWidth="1"/>
    <col min="1520" max="1520" width="16.5703125" style="8" customWidth="1"/>
    <col min="1521" max="1521" width="17.5703125" style="8" customWidth="1"/>
    <col min="1522" max="1522" width="16.140625" style="8" customWidth="1"/>
    <col min="1523" max="1523" width="14.28515625" style="8" customWidth="1"/>
    <col min="1524" max="1524" width="21" style="8" customWidth="1"/>
    <col min="1525" max="1525" width="12.140625" style="8" customWidth="1"/>
    <col min="1526" max="1526" width="10.7109375" style="8" bestFit="1" customWidth="1"/>
    <col min="1527" max="1772" width="9.140625" style="8"/>
    <col min="1773" max="1773" width="4.42578125" style="8" customWidth="1"/>
    <col min="1774" max="1774" width="17.85546875" style="8" customWidth="1"/>
    <col min="1775" max="1775" width="39.28515625" style="8" customWidth="1"/>
    <col min="1776" max="1776" width="16.5703125" style="8" customWidth="1"/>
    <col min="1777" max="1777" width="17.5703125" style="8" customWidth="1"/>
    <col min="1778" max="1778" width="16.140625" style="8" customWidth="1"/>
    <col min="1779" max="1779" width="14.28515625" style="8" customWidth="1"/>
    <col min="1780" max="1780" width="21" style="8" customWidth="1"/>
    <col min="1781" max="1781" width="12.140625" style="8" customWidth="1"/>
    <col min="1782" max="1782" width="10.7109375" style="8" bestFit="1" customWidth="1"/>
    <col min="1783" max="2028" width="9.140625" style="8"/>
    <col min="2029" max="2029" width="4.42578125" style="8" customWidth="1"/>
    <col min="2030" max="2030" width="17.85546875" style="8" customWidth="1"/>
    <col min="2031" max="2031" width="39.28515625" style="8" customWidth="1"/>
    <col min="2032" max="2032" width="16.5703125" style="8" customWidth="1"/>
    <col min="2033" max="2033" width="17.5703125" style="8" customWidth="1"/>
    <col min="2034" max="2034" width="16.140625" style="8" customWidth="1"/>
    <col min="2035" max="2035" width="14.28515625" style="8" customWidth="1"/>
    <col min="2036" max="2036" width="21" style="8" customWidth="1"/>
    <col min="2037" max="2037" width="12.140625" style="8" customWidth="1"/>
    <col min="2038" max="2038" width="10.7109375" style="8" bestFit="1" customWidth="1"/>
    <col min="2039" max="2284" width="9.140625" style="8"/>
    <col min="2285" max="2285" width="4.42578125" style="8" customWidth="1"/>
    <col min="2286" max="2286" width="17.85546875" style="8" customWidth="1"/>
    <col min="2287" max="2287" width="39.28515625" style="8" customWidth="1"/>
    <col min="2288" max="2288" width="16.5703125" style="8" customWidth="1"/>
    <col min="2289" max="2289" width="17.5703125" style="8" customWidth="1"/>
    <col min="2290" max="2290" width="16.140625" style="8" customWidth="1"/>
    <col min="2291" max="2291" width="14.28515625" style="8" customWidth="1"/>
    <col min="2292" max="2292" width="21" style="8" customWidth="1"/>
    <col min="2293" max="2293" width="12.140625" style="8" customWidth="1"/>
    <col min="2294" max="2294" width="10.7109375" style="8" bestFit="1" customWidth="1"/>
    <col min="2295" max="2540" width="9.140625" style="8"/>
    <col min="2541" max="2541" width="4.42578125" style="8" customWidth="1"/>
    <col min="2542" max="2542" width="17.85546875" style="8" customWidth="1"/>
    <col min="2543" max="2543" width="39.28515625" style="8" customWidth="1"/>
    <col min="2544" max="2544" width="16.5703125" style="8" customWidth="1"/>
    <col min="2545" max="2545" width="17.5703125" style="8" customWidth="1"/>
    <col min="2546" max="2546" width="16.140625" style="8" customWidth="1"/>
    <col min="2547" max="2547" width="14.28515625" style="8" customWidth="1"/>
    <col min="2548" max="2548" width="21" style="8" customWidth="1"/>
    <col min="2549" max="2549" width="12.140625" style="8" customWidth="1"/>
    <col min="2550" max="2550" width="10.7109375" style="8" bestFit="1" customWidth="1"/>
    <col min="2551" max="2796" width="9.140625" style="8"/>
    <col min="2797" max="2797" width="4.42578125" style="8" customWidth="1"/>
    <col min="2798" max="2798" width="17.85546875" style="8" customWidth="1"/>
    <col min="2799" max="2799" width="39.28515625" style="8" customWidth="1"/>
    <col min="2800" max="2800" width="16.5703125" style="8" customWidth="1"/>
    <col min="2801" max="2801" width="17.5703125" style="8" customWidth="1"/>
    <col min="2802" max="2802" width="16.140625" style="8" customWidth="1"/>
    <col min="2803" max="2803" width="14.28515625" style="8" customWidth="1"/>
    <col min="2804" max="2804" width="21" style="8" customWidth="1"/>
    <col min="2805" max="2805" width="12.140625" style="8" customWidth="1"/>
    <col min="2806" max="2806" width="10.7109375" style="8" bestFit="1" customWidth="1"/>
    <col min="2807" max="3052" width="9.140625" style="8"/>
    <col min="3053" max="3053" width="4.42578125" style="8" customWidth="1"/>
    <col min="3054" max="3054" width="17.85546875" style="8" customWidth="1"/>
    <col min="3055" max="3055" width="39.28515625" style="8" customWidth="1"/>
    <col min="3056" max="3056" width="16.5703125" style="8" customWidth="1"/>
    <col min="3057" max="3057" width="17.5703125" style="8" customWidth="1"/>
    <col min="3058" max="3058" width="16.140625" style="8" customWidth="1"/>
    <col min="3059" max="3059" width="14.28515625" style="8" customWidth="1"/>
    <col min="3060" max="3060" width="21" style="8" customWidth="1"/>
    <col min="3061" max="3061" width="12.140625" style="8" customWidth="1"/>
    <col min="3062" max="3062" width="10.7109375" style="8" bestFit="1" customWidth="1"/>
    <col min="3063" max="3308" width="9.140625" style="8"/>
    <col min="3309" max="3309" width="4.42578125" style="8" customWidth="1"/>
    <col min="3310" max="3310" width="17.85546875" style="8" customWidth="1"/>
    <col min="3311" max="3311" width="39.28515625" style="8" customWidth="1"/>
    <col min="3312" max="3312" width="16.5703125" style="8" customWidth="1"/>
    <col min="3313" max="3313" width="17.5703125" style="8" customWidth="1"/>
    <col min="3314" max="3314" width="16.140625" style="8" customWidth="1"/>
    <col min="3315" max="3315" width="14.28515625" style="8" customWidth="1"/>
    <col min="3316" max="3316" width="21" style="8" customWidth="1"/>
    <col min="3317" max="3317" width="12.140625" style="8" customWidth="1"/>
    <col min="3318" max="3318" width="10.7109375" style="8" bestFit="1" customWidth="1"/>
    <col min="3319" max="3564" width="9.140625" style="8"/>
    <col min="3565" max="3565" width="4.42578125" style="8" customWidth="1"/>
    <col min="3566" max="3566" width="17.85546875" style="8" customWidth="1"/>
    <col min="3567" max="3567" width="39.28515625" style="8" customWidth="1"/>
    <col min="3568" max="3568" width="16.5703125" style="8" customWidth="1"/>
    <col min="3569" max="3569" width="17.5703125" style="8" customWidth="1"/>
    <col min="3570" max="3570" width="16.140625" style="8" customWidth="1"/>
    <col min="3571" max="3571" width="14.28515625" style="8" customWidth="1"/>
    <col min="3572" max="3572" width="21" style="8" customWidth="1"/>
    <col min="3573" max="3573" width="12.140625" style="8" customWidth="1"/>
    <col min="3574" max="3574" width="10.7109375" style="8" bestFit="1" customWidth="1"/>
    <col min="3575" max="3820" width="9.140625" style="8"/>
    <col min="3821" max="3821" width="4.42578125" style="8" customWidth="1"/>
    <col min="3822" max="3822" width="17.85546875" style="8" customWidth="1"/>
    <col min="3823" max="3823" width="39.28515625" style="8" customWidth="1"/>
    <col min="3824" max="3824" width="16.5703125" style="8" customWidth="1"/>
    <col min="3825" max="3825" width="17.5703125" style="8" customWidth="1"/>
    <col min="3826" max="3826" width="16.140625" style="8" customWidth="1"/>
    <col min="3827" max="3827" width="14.28515625" style="8" customWidth="1"/>
    <col min="3828" max="3828" width="21" style="8" customWidth="1"/>
    <col min="3829" max="3829" width="12.140625" style="8" customWidth="1"/>
    <col min="3830" max="3830" width="10.7109375" style="8" bestFit="1" customWidth="1"/>
    <col min="3831" max="4076" width="9.140625" style="8"/>
    <col min="4077" max="4077" width="4.42578125" style="8" customWidth="1"/>
    <col min="4078" max="4078" width="17.85546875" style="8" customWidth="1"/>
    <col min="4079" max="4079" width="39.28515625" style="8" customWidth="1"/>
    <col min="4080" max="4080" width="16.5703125" style="8" customWidth="1"/>
    <col min="4081" max="4081" width="17.5703125" style="8" customWidth="1"/>
    <col min="4082" max="4082" width="16.140625" style="8" customWidth="1"/>
    <col min="4083" max="4083" width="14.28515625" style="8" customWidth="1"/>
    <col min="4084" max="4084" width="21" style="8" customWidth="1"/>
    <col min="4085" max="4085" width="12.140625" style="8" customWidth="1"/>
    <col min="4086" max="4086" width="10.7109375" style="8" bestFit="1" customWidth="1"/>
    <col min="4087" max="4332" width="9.140625" style="8"/>
    <col min="4333" max="4333" width="4.42578125" style="8" customWidth="1"/>
    <col min="4334" max="4334" width="17.85546875" style="8" customWidth="1"/>
    <col min="4335" max="4335" width="39.28515625" style="8" customWidth="1"/>
    <col min="4336" max="4336" width="16.5703125" style="8" customWidth="1"/>
    <col min="4337" max="4337" width="17.5703125" style="8" customWidth="1"/>
    <col min="4338" max="4338" width="16.140625" style="8" customWidth="1"/>
    <col min="4339" max="4339" width="14.28515625" style="8" customWidth="1"/>
    <col min="4340" max="4340" width="21" style="8" customWidth="1"/>
    <col min="4341" max="4341" width="12.140625" style="8" customWidth="1"/>
    <col min="4342" max="4342" width="10.7109375" style="8" bestFit="1" customWidth="1"/>
    <col min="4343" max="4588" width="9.140625" style="8"/>
    <col min="4589" max="4589" width="4.42578125" style="8" customWidth="1"/>
    <col min="4590" max="4590" width="17.85546875" style="8" customWidth="1"/>
    <col min="4591" max="4591" width="39.28515625" style="8" customWidth="1"/>
    <col min="4592" max="4592" width="16.5703125" style="8" customWidth="1"/>
    <col min="4593" max="4593" width="17.5703125" style="8" customWidth="1"/>
    <col min="4594" max="4594" width="16.140625" style="8" customWidth="1"/>
    <col min="4595" max="4595" width="14.28515625" style="8" customWidth="1"/>
    <col min="4596" max="4596" width="21" style="8" customWidth="1"/>
    <col min="4597" max="4597" width="12.140625" style="8" customWidth="1"/>
    <col min="4598" max="4598" width="10.7109375" style="8" bestFit="1" customWidth="1"/>
    <col min="4599" max="4844" width="9.140625" style="8"/>
    <col min="4845" max="4845" width="4.42578125" style="8" customWidth="1"/>
    <col min="4846" max="4846" width="17.85546875" style="8" customWidth="1"/>
    <col min="4847" max="4847" width="39.28515625" style="8" customWidth="1"/>
    <col min="4848" max="4848" width="16.5703125" style="8" customWidth="1"/>
    <col min="4849" max="4849" width="17.5703125" style="8" customWidth="1"/>
    <col min="4850" max="4850" width="16.140625" style="8" customWidth="1"/>
    <col min="4851" max="4851" width="14.28515625" style="8" customWidth="1"/>
    <col min="4852" max="4852" width="21" style="8" customWidth="1"/>
    <col min="4853" max="4853" width="12.140625" style="8" customWidth="1"/>
    <col min="4854" max="4854" width="10.7109375" style="8" bestFit="1" customWidth="1"/>
    <col min="4855" max="5100" width="9.140625" style="8"/>
    <col min="5101" max="5101" width="4.42578125" style="8" customWidth="1"/>
    <col min="5102" max="5102" width="17.85546875" style="8" customWidth="1"/>
    <col min="5103" max="5103" width="39.28515625" style="8" customWidth="1"/>
    <col min="5104" max="5104" width="16.5703125" style="8" customWidth="1"/>
    <col min="5105" max="5105" width="17.5703125" style="8" customWidth="1"/>
    <col min="5106" max="5106" width="16.140625" style="8" customWidth="1"/>
    <col min="5107" max="5107" width="14.28515625" style="8" customWidth="1"/>
    <col min="5108" max="5108" width="21" style="8" customWidth="1"/>
    <col min="5109" max="5109" width="12.140625" style="8" customWidth="1"/>
    <col min="5110" max="5110" width="10.7109375" style="8" bestFit="1" customWidth="1"/>
    <col min="5111" max="5356" width="9.140625" style="8"/>
    <col min="5357" max="5357" width="4.42578125" style="8" customWidth="1"/>
    <col min="5358" max="5358" width="17.85546875" style="8" customWidth="1"/>
    <col min="5359" max="5359" width="39.28515625" style="8" customWidth="1"/>
    <col min="5360" max="5360" width="16.5703125" style="8" customWidth="1"/>
    <col min="5361" max="5361" width="17.5703125" style="8" customWidth="1"/>
    <col min="5362" max="5362" width="16.140625" style="8" customWidth="1"/>
    <col min="5363" max="5363" width="14.28515625" style="8" customWidth="1"/>
    <col min="5364" max="5364" width="21" style="8" customWidth="1"/>
    <col min="5365" max="5365" width="12.140625" style="8" customWidth="1"/>
    <col min="5366" max="5366" width="10.7109375" style="8" bestFit="1" customWidth="1"/>
    <col min="5367" max="5612" width="9.140625" style="8"/>
    <col min="5613" max="5613" width="4.42578125" style="8" customWidth="1"/>
    <col min="5614" max="5614" width="17.85546875" style="8" customWidth="1"/>
    <col min="5615" max="5615" width="39.28515625" style="8" customWidth="1"/>
    <col min="5616" max="5616" width="16.5703125" style="8" customWidth="1"/>
    <col min="5617" max="5617" width="17.5703125" style="8" customWidth="1"/>
    <col min="5618" max="5618" width="16.140625" style="8" customWidth="1"/>
    <col min="5619" max="5619" width="14.28515625" style="8" customWidth="1"/>
    <col min="5620" max="5620" width="21" style="8" customWidth="1"/>
    <col min="5621" max="5621" width="12.140625" style="8" customWidth="1"/>
    <col min="5622" max="5622" width="10.7109375" style="8" bestFit="1" customWidth="1"/>
    <col min="5623" max="5868" width="9.140625" style="8"/>
    <col min="5869" max="5869" width="4.42578125" style="8" customWidth="1"/>
    <col min="5870" max="5870" width="17.85546875" style="8" customWidth="1"/>
    <col min="5871" max="5871" width="39.28515625" style="8" customWidth="1"/>
    <col min="5872" max="5872" width="16.5703125" style="8" customWidth="1"/>
    <col min="5873" max="5873" width="17.5703125" style="8" customWidth="1"/>
    <col min="5874" max="5874" width="16.140625" style="8" customWidth="1"/>
    <col min="5875" max="5875" width="14.28515625" style="8" customWidth="1"/>
    <col min="5876" max="5876" width="21" style="8" customWidth="1"/>
    <col min="5877" max="5877" width="12.140625" style="8" customWidth="1"/>
    <col min="5878" max="5878" width="10.7109375" style="8" bestFit="1" customWidth="1"/>
    <col min="5879" max="6124" width="9.140625" style="8"/>
    <col min="6125" max="6125" width="4.42578125" style="8" customWidth="1"/>
    <col min="6126" max="6126" width="17.85546875" style="8" customWidth="1"/>
    <col min="6127" max="6127" width="39.28515625" style="8" customWidth="1"/>
    <col min="6128" max="6128" width="16.5703125" style="8" customWidth="1"/>
    <col min="6129" max="6129" width="17.5703125" style="8" customWidth="1"/>
    <col min="6130" max="6130" width="16.140625" style="8" customWidth="1"/>
    <col min="6131" max="6131" width="14.28515625" style="8" customWidth="1"/>
    <col min="6132" max="6132" width="21" style="8" customWidth="1"/>
    <col min="6133" max="6133" width="12.140625" style="8" customWidth="1"/>
    <col min="6134" max="6134" width="10.7109375" style="8" bestFit="1" customWidth="1"/>
    <col min="6135" max="6380" width="9.140625" style="8"/>
    <col min="6381" max="6381" width="4.42578125" style="8" customWidth="1"/>
    <col min="6382" max="6382" width="17.85546875" style="8" customWidth="1"/>
    <col min="6383" max="6383" width="39.28515625" style="8" customWidth="1"/>
    <col min="6384" max="6384" width="16.5703125" style="8" customWidth="1"/>
    <col min="6385" max="6385" width="17.5703125" style="8" customWidth="1"/>
    <col min="6386" max="6386" width="16.140625" style="8" customWidth="1"/>
    <col min="6387" max="6387" width="14.28515625" style="8" customWidth="1"/>
    <col min="6388" max="6388" width="21" style="8" customWidth="1"/>
    <col min="6389" max="6389" width="12.140625" style="8" customWidth="1"/>
    <col min="6390" max="6390" width="10.7109375" style="8" bestFit="1" customWidth="1"/>
    <col min="6391" max="6636" width="9.140625" style="8"/>
    <col min="6637" max="6637" width="4.42578125" style="8" customWidth="1"/>
    <col min="6638" max="6638" width="17.85546875" style="8" customWidth="1"/>
    <col min="6639" max="6639" width="39.28515625" style="8" customWidth="1"/>
    <col min="6640" max="6640" width="16.5703125" style="8" customWidth="1"/>
    <col min="6641" max="6641" width="17.5703125" style="8" customWidth="1"/>
    <col min="6642" max="6642" width="16.140625" style="8" customWidth="1"/>
    <col min="6643" max="6643" width="14.28515625" style="8" customWidth="1"/>
    <col min="6644" max="6644" width="21" style="8" customWidth="1"/>
    <col min="6645" max="6645" width="12.140625" style="8" customWidth="1"/>
    <col min="6646" max="6646" width="10.7109375" style="8" bestFit="1" customWidth="1"/>
    <col min="6647" max="6892" width="9.140625" style="8"/>
    <col min="6893" max="6893" width="4.42578125" style="8" customWidth="1"/>
    <col min="6894" max="6894" width="17.85546875" style="8" customWidth="1"/>
    <col min="6895" max="6895" width="39.28515625" style="8" customWidth="1"/>
    <col min="6896" max="6896" width="16.5703125" style="8" customWidth="1"/>
    <col min="6897" max="6897" width="17.5703125" style="8" customWidth="1"/>
    <col min="6898" max="6898" width="16.140625" style="8" customWidth="1"/>
    <col min="6899" max="6899" width="14.28515625" style="8" customWidth="1"/>
    <col min="6900" max="6900" width="21" style="8" customWidth="1"/>
    <col min="6901" max="6901" width="12.140625" style="8" customWidth="1"/>
    <col min="6902" max="6902" width="10.7109375" style="8" bestFit="1" customWidth="1"/>
    <col min="6903" max="7148" width="9.140625" style="8"/>
    <col min="7149" max="7149" width="4.42578125" style="8" customWidth="1"/>
    <col min="7150" max="7150" width="17.85546875" style="8" customWidth="1"/>
    <col min="7151" max="7151" width="39.28515625" style="8" customWidth="1"/>
    <col min="7152" max="7152" width="16.5703125" style="8" customWidth="1"/>
    <col min="7153" max="7153" width="17.5703125" style="8" customWidth="1"/>
    <col min="7154" max="7154" width="16.140625" style="8" customWidth="1"/>
    <col min="7155" max="7155" width="14.28515625" style="8" customWidth="1"/>
    <col min="7156" max="7156" width="21" style="8" customWidth="1"/>
    <col min="7157" max="7157" width="12.140625" style="8" customWidth="1"/>
    <col min="7158" max="7158" width="10.7109375" style="8" bestFit="1" customWidth="1"/>
    <col min="7159" max="7404" width="9.140625" style="8"/>
    <col min="7405" max="7405" width="4.42578125" style="8" customWidth="1"/>
    <col min="7406" max="7406" width="17.85546875" style="8" customWidth="1"/>
    <col min="7407" max="7407" width="39.28515625" style="8" customWidth="1"/>
    <col min="7408" max="7408" width="16.5703125" style="8" customWidth="1"/>
    <col min="7409" max="7409" width="17.5703125" style="8" customWidth="1"/>
    <col min="7410" max="7410" width="16.140625" style="8" customWidth="1"/>
    <col min="7411" max="7411" width="14.28515625" style="8" customWidth="1"/>
    <col min="7412" max="7412" width="21" style="8" customWidth="1"/>
    <col min="7413" max="7413" width="12.140625" style="8" customWidth="1"/>
    <col min="7414" max="7414" width="10.7109375" style="8" bestFit="1" customWidth="1"/>
    <col min="7415" max="7660" width="9.140625" style="8"/>
    <col min="7661" max="7661" width="4.42578125" style="8" customWidth="1"/>
    <col min="7662" max="7662" width="17.85546875" style="8" customWidth="1"/>
    <col min="7663" max="7663" width="39.28515625" style="8" customWidth="1"/>
    <col min="7664" max="7664" width="16.5703125" style="8" customWidth="1"/>
    <col min="7665" max="7665" width="17.5703125" style="8" customWidth="1"/>
    <col min="7666" max="7666" width="16.140625" style="8" customWidth="1"/>
    <col min="7667" max="7667" width="14.28515625" style="8" customWidth="1"/>
    <col min="7668" max="7668" width="21" style="8" customWidth="1"/>
    <col min="7669" max="7669" width="12.140625" style="8" customWidth="1"/>
    <col min="7670" max="7670" width="10.7109375" style="8" bestFit="1" customWidth="1"/>
    <col min="7671" max="7916" width="9.140625" style="8"/>
    <col min="7917" max="7917" width="4.42578125" style="8" customWidth="1"/>
    <col min="7918" max="7918" width="17.85546875" style="8" customWidth="1"/>
    <col min="7919" max="7919" width="39.28515625" style="8" customWidth="1"/>
    <col min="7920" max="7920" width="16.5703125" style="8" customWidth="1"/>
    <col min="7921" max="7921" width="17.5703125" style="8" customWidth="1"/>
    <col min="7922" max="7922" width="16.140625" style="8" customWidth="1"/>
    <col min="7923" max="7923" width="14.28515625" style="8" customWidth="1"/>
    <col min="7924" max="7924" width="21" style="8" customWidth="1"/>
    <col min="7925" max="7925" width="12.140625" style="8" customWidth="1"/>
    <col min="7926" max="7926" width="10.7109375" style="8" bestFit="1" customWidth="1"/>
    <col min="7927" max="8172" width="9.140625" style="8"/>
    <col min="8173" max="8173" width="4.42578125" style="8" customWidth="1"/>
    <col min="8174" max="8174" width="17.85546875" style="8" customWidth="1"/>
    <col min="8175" max="8175" width="39.28515625" style="8" customWidth="1"/>
    <col min="8176" max="8176" width="16.5703125" style="8" customWidth="1"/>
    <col min="8177" max="8177" width="17.5703125" style="8" customWidth="1"/>
    <col min="8178" max="8178" width="16.140625" style="8" customWidth="1"/>
    <col min="8179" max="8179" width="14.28515625" style="8" customWidth="1"/>
    <col min="8180" max="8180" width="21" style="8" customWidth="1"/>
    <col min="8181" max="8181" width="12.140625" style="8" customWidth="1"/>
    <col min="8182" max="8182" width="10.7109375" style="8" bestFit="1" customWidth="1"/>
    <col min="8183" max="8428" width="9.140625" style="8"/>
    <col min="8429" max="8429" width="4.42578125" style="8" customWidth="1"/>
    <col min="8430" max="8430" width="17.85546875" style="8" customWidth="1"/>
    <col min="8431" max="8431" width="39.28515625" style="8" customWidth="1"/>
    <col min="8432" max="8432" width="16.5703125" style="8" customWidth="1"/>
    <col min="8433" max="8433" width="17.5703125" style="8" customWidth="1"/>
    <col min="8434" max="8434" width="16.140625" style="8" customWidth="1"/>
    <col min="8435" max="8435" width="14.28515625" style="8" customWidth="1"/>
    <col min="8436" max="8436" width="21" style="8" customWidth="1"/>
    <col min="8437" max="8437" width="12.140625" style="8" customWidth="1"/>
    <col min="8438" max="8438" width="10.7109375" style="8" bestFit="1" customWidth="1"/>
    <col min="8439" max="8684" width="9.140625" style="8"/>
    <col min="8685" max="8685" width="4.42578125" style="8" customWidth="1"/>
    <col min="8686" max="8686" width="17.85546875" style="8" customWidth="1"/>
    <col min="8687" max="8687" width="39.28515625" style="8" customWidth="1"/>
    <col min="8688" max="8688" width="16.5703125" style="8" customWidth="1"/>
    <col min="8689" max="8689" width="17.5703125" style="8" customWidth="1"/>
    <col min="8690" max="8690" width="16.140625" style="8" customWidth="1"/>
    <col min="8691" max="8691" width="14.28515625" style="8" customWidth="1"/>
    <col min="8692" max="8692" width="21" style="8" customWidth="1"/>
    <col min="8693" max="8693" width="12.140625" style="8" customWidth="1"/>
    <col min="8694" max="8694" width="10.7109375" style="8" bestFit="1" customWidth="1"/>
    <col min="8695" max="8940" width="9.140625" style="8"/>
    <col min="8941" max="8941" width="4.42578125" style="8" customWidth="1"/>
    <col min="8942" max="8942" width="17.85546875" style="8" customWidth="1"/>
    <col min="8943" max="8943" width="39.28515625" style="8" customWidth="1"/>
    <col min="8944" max="8944" width="16.5703125" style="8" customWidth="1"/>
    <col min="8945" max="8945" width="17.5703125" style="8" customWidth="1"/>
    <col min="8946" max="8946" width="16.140625" style="8" customWidth="1"/>
    <col min="8947" max="8947" width="14.28515625" style="8" customWidth="1"/>
    <col min="8948" max="8948" width="21" style="8" customWidth="1"/>
    <col min="8949" max="8949" width="12.140625" style="8" customWidth="1"/>
    <col min="8950" max="8950" width="10.7109375" style="8" bestFit="1" customWidth="1"/>
    <col min="8951" max="9196" width="9.140625" style="8"/>
    <col min="9197" max="9197" width="4.42578125" style="8" customWidth="1"/>
    <col min="9198" max="9198" width="17.85546875" style="8" customWidth="1"/>
    <col min="9199" max="9199" width="39.28515625" style="8" customWidth="1"/>
    <col min="9200" max="9200" width="16.5703125" style="8" customWidth="1"/>
    <col min="9201" max="9201" width="17.5703125" style="8" customWidth="1"/>
    <col min="9202" max="9202" width="16.140625" style="8" customWidth="1"/>
    <col min="9203" max="9203" width="14.28515625" style="8" customWidth="1"/>
    <col min="9204" max="9204" width="21" style="8" customWidth="1"/>
    <col min="9205" max="9205" width="12.140625" style="8" customWidth="1"/>
    <col min="9206" max="9206" width="10.7109375" style="8" bestFit="1" customWidth="1"/>
    <col min="9207" max="9452" width="9.140625" style="8"/>
    <col min="9453" max="9453" width="4.42578125" style="8" customWidth="1"/>
    <col min="9454" max="9454" width="17.85546875" style="8" customWidth="1"/>
    <col min="9455" max="9455" width="39.28515625" style="8" customWidth="1"/>
    <col min="9456" max="9456" width="16.5703125" style="8" customWidth="1"/>
    <col min="9457" max="9457" width="17.5703125" style="8" customWidth="1"/>
    <col min="9458" max="9458" width="16.140625" style="8" customWidth="1"/>
    <col min="9459" max="9459" width="14.28515625" style="8" customWidth="1"/>
    <col min="9460" max="9460" width="21" style="8" customWidth="1"/>
    <col min="9461" max="9461" width="12.140625" style="8" customWidth="1"/>
    <col min="9462" max="9462" width="10.7109375" style="8" bestFit="1" customWidth="1"/>
    <col min="9463" max="9708" width="9.140625" style="8"/>
    <col min="9709" max="9709" width="4.42578125" style="8" customWidth="1"/>
    <col min="9710" max="9710" width="17.85546875" style="8" customWidth="1"/>
    <col min="9711" max="9711" width="39.28515625" style="8" customWidth="1"/>
    <col min="9712" max="9712" width="16.5703125" style="8" customWidth="1"/>
    <col min="9713" max="9713" width="17.5703125" style="8" customWidth="1"/>
    <col min="9714" max="9714" width="16.140625" style="8" customWidth="1"/>
    <col min="9715" max="9715" width="14.28515625" style="8" customWidth="1"/>
    <col min="9716" max="9716" width="21" style="8" customWidth="1"/>
    <col min="9717" max="9717" width="12.140625" style="8" customWidth="1"/>
    <col min="9718" max="9718" width="10.7109375" style="8" bestFit="1" customWidth="1"/>
    <col min="9719" max="9964" width="9.140625" style="8"/>
    <col min="9965" max="9965" width="4.42578125" style="8" customWidth="1"/>
    <col min="9966" max="9966" width="17.85546875" style="8" customWidth="1"/>
    <col min="9967" max="9967" width="39.28515625" style="8" customWidth="1"/>
    <col min="9968" max="9968" width="16.5703125" style="8" customWidth="1"/>
    <col min="9969" max="9969" width="17.5703125" style="8" customWidth="1"/>
    <col min="9970" max="9970" width="16.140625" style="8" customWidth="1"/>
    <col min="9971" max="9971" width="14.28515625" style="8" customWidth="1"/>
    <col min="9972" max="9972" width="21" style="8" customWidth="1"/>
    <col min="9973" max="9973" width="12.140625" style="8" customWidth="1"/>
    <col min="9974" max="9974" width="10.7109375" style="8" bestFit="1" customWidth="1"/>
    <col min="9975" max="10220" width="9.140625" style="8"/>
    <col min="10221" max="10221" width="4.42578125" style="8" customWidth="1"/>
    <col min="10222" max="10222" width="17.85546875" style="8" customWidth="1"/>
    <col min="10223" max="10223" width="39.28515625" style="8" customWidth="1"/>
    <col min="10224" max="10224" width="16.5703125" style="8" customWidth="1"/>
    <col min="10225" max="10225" width="17.5703125" style="8" customWidth="1"/>
    <col min="10226" max="10226" width="16.140625" style="8" customWidth="1"/>
    <col min="10227" max="10227" width="14.28515625" style="8" customWidth="1"/>
    <col min="10228" max="10228" width="21" style="8" customWidth="1"/>
    <col min="10229" max="10229" width="12.140625" style="8" customWidth="1"/>
    <col min="10230" max="10230" width="10.7109375" style="8" bestFit="1" customWidth="1"/>
    <col min="10231" max="10476" width="9.140625" style="8"/>
    <col min="10477" max="10477" width="4.42578125" style="8" customWidth="1"/>
    <col min="10478" max="10478" width="17.85546875" style="8" customWidth="1"/>
    <col min="10479" max="10479" width="39.28515625" style="8" customWidth="1"/>
    <col min="10480" max="10480" width="16.5703125" style="8" customWidth="1"/>
    <col min="10481" max="10481" width="17.5703125" style="8" customWidth="1"/>
    <col min="10482" max="10482" width="16.140625" style="8" customWidth="1"/>
    <col min="10483" max="10483" width="14.28515625" style="8" customWidth="1"/>
    <col min="10484" max="10484" width="21" style="8" customWidth="1"/>
    <col min="10485" max="10485" width="12.140625" style="8" customWidth="1"/>
    <col min="10486" max="10486" width="10.7109375" style="8" bestFit="1" customWidth="1"/>
    <col min="10487" max="10732" width="9.140625" style="8"/>
    <col min="10733" max="10733" width="4.42578125" style="8" customWidth="1"/>
    <col min="10734" max="10734" width="17.85546875" style="8" customWidth="1"/>
    <col min="10735" max="10735" width="39.28515625" style="8" customWidth="1"/>
    <col min="10736" max="10736" width="16.5703125" style="8" customWidth="1"/>
    <col min="10737" max="10737" width="17.5703125" style="8" customWidth="1"/>
    <col min="10738" max="10738" width="16.140625" style="8" customWidth="1"/>
    <col min="10739" max="10739" width="14.28515625" style="8" customWidth="1"/>
    <col min="10740" max="10740" width="21" style="8" customWidth="1"/>
    <col min="10741" max="10741" width="12.140625" style="8" customWidth="1"/>
    <col min="10742" max="10742" width="10.7109375" style="8" bestFit="1" customWidth="1"/>
    <col min="10743" max="10988" width="9.140625" style="8"/>
    <col min="10989" max="10989" width="4.42578125" style="8" customWidth="1"/>
    <col min="10990" max="10990" width="17.85546875" style="8" customWidth="1"/>
    <col min="10991" max="10991" width="39.28515625" style="8" customWidth="1"/>
    <col min="10992" max="10992" width="16.5703125" style="8" customWidth="1"/>
    <col min="10993" max="10993" width="17.5703125" style="8" customWidth="1"/>
    <col min="10994" max="10994" width="16.140625" style="8" customWidth="1"/>
    <col min="10995" max="10995" width="14.28515625" style="8" customWidth="1"/>
    <col min="10996" max="10996" width="21" style="8" customWidth="1"/>
    <col min="10997" max="10997" width="12.140625" style="8" customWidth="1"/>
    <col min="10998" max="10998" width="10.7109375" style="8" bestFit="1" customWidth="1"/>
    <col min="10999" max="11244" width="9.140625" style="8"/>
    <col min="11245" max="11245" width="4.42578125" style="8" customWidth="1"/>
    <col min="11246" max="11246" width="17.85546875" style="8" customWidth="1"/>
    <col min="11247" max="11247" width="39.28515625" style="8" customWidth="1"/>
    <col min="11248" max="11248" width="16.5703125" style="8" customWidth="1"/>
    <col min="11249" max="11249" width="17.5703125" style="8" customWidth="1"/>
    <col min="11250" max="11250" width="16.140625" style="8" customWidth="1"/>
    <col min="11251" max="11251" width="14.28515625" style="8" customWidth="1"/>
    <col min="11252" max="11252" width="21" style="8" customWidth="1"/>
    <col min="11253" max="11253" width="12.140625" style="8" customWidth="1"/>
    <col min="11254" max="11254" width="10.7109375" style="8" bestFit="1" customWidth="1"/>
    <col min="11255" max="11500" width="9.140625" style="8"/>
    <col min="11501" max="11501" width="4.42578125" style="8" customWidth="1"/>
    <col min="11502" max="11502" width="17.85546875" style="8" customWidth="1"/>
    <col min="11503" max="11503" width="39.28515625" style="8" customWidth="1"/>
    <col min="11504" max="11504" width="16.5703125" style="8" customWidth="1"/>
    <col min="11505" max="11505" width="17.5703125" style="8" customWidth="1"/>
    <col min="11506" max="11506" width="16.140625" style="8" customWidth="1"/>
    <col min="11507" max="11507" width="14.28515625" style="8" customWidth="1"/>
    <col min="11508" max="11508" width="21" style="8" customWidth="1"/>
    <col min="11509" max="11509" width="12.140625" style="8" customWidth="1"/>
    <col min="11510" max="11510" width="10.7109375" style="8" bestFit="1" customWidth="1"/>
    <col min="11511" max="11756" width="9.140625" style="8"/>
    <col min="11757" max="11757" width="4.42578125" style="8" customWidth="1"/>
    <col min="11758" max="11758" width="17.85546875" style="8" customWidth="1"/>
    <col min="11759" max="11759" width="39.28515625" style="8" customWidth="1"/>
    <col min="11760" max="11760" width="16.5703125" style="8" customWidth="1"/>
    <col min="11761" max="11761" width="17.5703125" style="8" customWidth="1"/>
    <col min="11762" max="11762" width="16.140625" style="8" customWidth="1"/>
    <col min="11763" max="11763" width="14.28515625" style="8" customWidth="1"/>
    <col min="11764" max="11764" width="21" style="8" customWidth="1"/>
    <col min="11765" max="11765" width="12.140625" style="8" customWidth="1"/>
    <col min="11766" max="11766" width="10.7109375" style="8" bestFit="1" customWidth="1"/>
    <col min="11767" max="12012" width="9.140625" style="8"/>
    <col min="12013" max="12013" width="4.42578125" style="8" customWidth="1"/>
    <col min="12014" max="12014" width="17.85546875" style="8" customWidth="1"/>
    <col min="12015" max="12015" width="39.28515625" style="8" customWidth="1"/>
    <col min="12016" max="12016" width="16.5703125" style="8" customWidth="1"/>
    <col min="12017" max="12017" width="17.5703125" style="8" customWidth="1"/>
    <col min="12018" max="12018" width="16.140625" style="8" customWidth="1"/>
    <col min="12019" max="12019" width="14.28515625" style="8" customWidth="1"/>
    <col min="12020" max="12020" width="21" style="8" customWidth="1"/>
    <col min="12021" max="12021" width="12.140625" style="8" customWidth="1"/>
    <col min="12022" max="12022" width="10.7109375" style="8" bestFit="1" customWidth="1"/>
    <col min="12023" max="12268" width="9.140625" style="8"/>
    <col min="12269" max="12269" width="4.42578125" style="8" customWidth="1"/>
    <col min="12270" max="12270" width="17.85546875" style="8" customWidth="1"/>
    <col min="12271" max="12271" width="39.28515625" style="8" customWidth="1"/>
    <col min="12272" max="12272" width="16.5703125" style="8" customWidth="1"/>
    <col min="12273" max="12273" width="17.5703125" style="8" customWidth="1"/>
    <col min="12274" max="12274" width="16.140625" style="8" customWidth="1"/>
    <col min="12275" max="12275" width="14.28515625" style="8" customWidth="1"/>
    <col min="12276" max="12276" width="21" style="8" customWidth="1"/>
    <col min="12277" max="12277" width="12.140625" style="8" customWidth="1"/>
    <col min="12278" max="12278" width="10.7109375" style="8" bestFit="1" customWidth="1"/>
    <col min="12279" max="12524" width="9.140625" style="8"/>
    <col min="12525" max="12525" width="4.42578125" style="8" customWidth="1"/>
    <col min="12526" max="12526" width="17.85546875" style="8" customWidth="1"/>
    <col min="12527" max="12527" width="39.28515625" style="8" customWidth="1"/>
    <col min="12528" max="12528" width="16.5703125" style="8" customWidth="1"/>
    <col min="12529" max="12529" width="17.5703125" style="8" customWidth="1"/>
    <col min="12530" max="12530" width="16.140625" style="8" customWidth="1"/>
    <col min="12531" max="12531" width="14.28515625" style="8" customWidth="1"/>
    <col min="12532" max="12532" width="21" style="8" customWidth="1"/>
    <col min="12533" max="12533" width="12.140625" style="8" customWidth="1"/>
    <col min="12534" max="12534" width="10.7109375" style="8" bestFit="1" customWidth="1"/>
    <col min="12535" max="12780" width="9.140625" style="8"/>
    <col min="12781" max="12781" width="4.42578125" style="8" customWidth="1"/>
    <col min="12782" max="12782" width="17.85546875" style="8" customWidth="1"/>
    <col min="12783" max="12783" width="39.28515625" style="8" customWidth="1"/>
    <col min="12784" max="12784" width="16.5703125" style="8" customWidth="1"/>
    <col min="12785" max="12785" width="17.5703125" style="8" customWidth="1"/>
    <col min="12786" max="12786" width="16.140625" style="8" customWidth="1"/>
    <col min="12787" max="12787" width="14.28515625" style="8" customWidth="1"/>
    <col min="12788" max="12788" width="21" style="8" customWidth="1"/>
    <col min="12789" max="12789" width="12.140625" style="8" customWidth="1"/>
    <col min="12790" max="12790" width="10.7109375" style="8" bestFit="1" customWidth="1"/>
    <col min="12791" max="13036" width="9.140625" style="8"/>
    <col min="13037" max="13037" width="4.42578125" style="8" customWidth="1"/>
    <col min="13038" max="13038" width="17.85546875" style="8" customWidth="1"/>
    <col min="13039" max="13039" width="39.28515625" style="8" customWidth="1"/>
    <col min="13040" max="13040" width="16.5703125" style="8" customWidth="1"/>
    <col min="13041" max="13041" width="17.5703125" style="8" customWidth="1"/>
    <col min="13042" max="13042" width="16.140625" style="8" customWidth="1"/>
    <col min="13043" max="13043" width="14.28515625" style="8" customWidth="1"/>
    <col min="13044" max="13044" width="21" style="8" customWidth="1"/>
    <col min="13045" max="13045" width="12.140625" style="8" customWidth="1"/>
    <col min="13046" max="13046" width="10.7109375" style="8" bestFit="1" customWidth="1"/>
    <col min="13047" max="13292" width="9.140625" style="8"/>
    <col min="13293" max="13293" width="4.42578125" style="8" customWidth="1"/>
    <col min="13294" max="13294" width="17.85546875" style="8" customWidth="1"/>
    <col min="13295" max="13295" width="39.28515625" style="8" customWidth="1"/>
    <col min="13296" max="13296" width="16.5703125" style="8" customWidth="1"/>
    <col min="13297" max="13297" width="17.5703125" style="8" customWidth="1"/>
    <col min="13298" max="13298" width="16.140625" style="8" customWidth="1"/>
    <col min="13299" max="13299" width="14.28515625" style="8" customWidth="1"/>
    <col min="13300" max="13300" width="21" style="8" customWidth="1"/>
    <col min="13301" max="13301" width="12.140625" style="8" customWidth="1"/>
    <col min="13302" max="13302" width="10.7109375" style="8" bestFit="1" customWidth="1"/>
    <col min="13303" max="13548" width="9.140625" style="8"/>
    <col min="13549" max="13549" width="4.42578125" style="8" customWidth="1"/>
    <col min="13550" max="13550" width="17.85546875" style="8" customWidth="1"/>
    <col min="13551" max="13551" width="39.28515625" style="8" customWidth="1"/>
    <col min="13552" max="13552" width="16.5703125" style="8" customWidth="1"/>
    <col min="13553" max="13553" width="17.5703125" style="8" customWidth="1"/>
    <col min="13554" max="13554" width="16.140625" style="8" customWidth="1"/>
    <col min="13555" max="13555" width="14.28515625" style="8" customWidth="1"/>
    <col min="13556" max="13556" width="21" style="8" customWidth="1"/>
    <col min="13557" max="13557" width="12.140625" style="8" customWidth="1"/>
    <col min="13558" max="13558" width="10.7109375" style="8" bestFit="1" customWidth="1"/>
    <col min="13559" max="13804" width="9.140625" style="8"/>
    <col min="13805" max="13805" width="4.42578125" style="8" customWidth="1"/>
    <col min="13806" max="13806" width="17.85546875" style="8" customWidth="1"/>
    <col min="13807" max="13807" width="39.28515625" style="8" customWidth="1"/>
    <col min="13808" max="13808" width="16.5703125" style="8" customWidth="1"/>
    <col min="13809" max="13809" width="17.5703125" style="8" customWidth="1"/>
    <col min="13810" max="13810" width="16.140625" style="8" customWidth="1"/>
    <col min="13811" max="13811" width="14.28515625" style="8" customWidth="1"/>
    <col min="13812" max="13812" width="21" style="8" customWidth="1"/>
    <col min="13813" max="13813" width="12.140625" style="8" customWidth="1"/>
    <col min="13814" max="13814" width="10.7109375" style="8" bestFit="1" customWidth="1"/>
    <col min="13815" max="14060" width="9.140625" style="8"/>
    <col min="14061" max="14061" width="4.42578125" style="8" customWidth="1"/>
    <col min="14062" max="14062" width="17.85546875" style="8" customWidth="1"/>
    <col min="14063" max="14063" width="39.28515625" style="8" customWidth="1"/>
    <col min="14064" max="14064" width="16.5703125" style="8" customWidth="1"/>
    <col min="14065" max="14065" width="17.5703125" style="8" customWidth="1"/>
    <col min="14066" max="14066" width="16.140625" style="8" customWidth="1"/>
    <col min="14067" max="14067" width="14.28515625" style="8" customWidth="1"/>
    <col min="14068" max="14068" width="21" style="8" customWidth="1"/>
    <col min="14069" max="14069" width="12.140625" style="8" customWidth="1"/>
    <col min="14070" max="14070" width="10.7109375" style="8" bestFit="1" customWidth="1"/>
    <col min="14071" max="14316" width="9.140625" style="8"/>
    <col min="14317" max="14317" width="4.42578125" style="8" customWidth="1"/>
    <col min="14318" max="14318" width="17.85546875" style="8" customWidth="1"/>
    <col min="14319" max="14319" width="39.28515625" style="8" customWidth="1"/>
    <col min="14320" max="14320" width="16.5703125" style="8" customWidth="1"/>
    <col min="14321" max="14321" width="17.5703125" style="8" customWidth="1"/>
    <col min="14322" max="14322" width="16.140625" style="8" customWidth="1"/>
    <col min="14323" max="14323" width="14.28515625" style="8" customWidth="1"/>
    <col min="14324" max="14324" width="21" style="8" customWidth="1"/>
    <col min="14325" max="14325" width="12.140625" style="8" customWidth="1"/>
    <col min="14326" max="14326" width="10.7109375" style="8" bestFit="1" customWidth="1"/>
    <col min="14327" max="14572" width="9.140625" style="8"/>
    <col min="14573" max="14573" width="4.42578125" style="8" customWidth="1"/>
    <col min="14574" max="14574" width="17.85546875" style="8" customWidth="1"/>
    <col min="14575" max="14575" width="39.28515625" style="8" customWidth="1"/>
    <col min="14576" max="14576" width="16.5703125" style="8" customWidth="1"/>
    <col min="14577" max="14577" width="17.5703125" style="8" customWidth="1"/>
    <col min="14578" max="14578" width="16.140625" style="8" customWidth="1"/>
    <col min="14579" max="14579" width="14.28515625" style="8" customWidth="1"/>
    <col min="14580" max="14580" width="21" style="8" customWidth="1"/>
    <col min="14581" max="14581" width="12.140625" style="8" customWidth="1"/>
    <col min="14582" max="14582" width="10.7109375" style="8" bestFit="1" customWidth="1"/>
    <col min="14583" max="14828" width="9.140625" style="8"/>
    <col min="14829" max="14829" width="4.42578125" style="8" customWidth="1"/>
    <col min="14830" max="14830" width="17.85546875" style="8" customWidth="1"/>
    <col min="14831" max="14831" width="39.28515625" style="8" customWidth="1"/>
    <col min="14832" max="14832" width="16.5703125" style="8" customWidth="1"/>
    <col min="14833" max="14833" width="17.5703125" style="8" customWidth="1"/>
    <col min="14834" max="14834" width="16.140625" style="8" customWidth="1"/>
    <col min="14835" max="14835" width="14.28515625" style="8" customWidth="1"/>
    <col min="14836" max="14836" width="21" style="8" customWidth="1"/>
    <col min="14837" max="14837" width="12.140625" style="8" customWidth="1"/>
    <col min="14838" max="14838" width="10.7109375" style="8" bestFit="1" customWidth="1"/>
    <col min="14839" max="15084" width="9.140625" style="8"/>
    <col min="15085" max="15085" width="4.42578125" style="8" customWidth="1"/>
    <col min="15086" max="15086" width="17.85546875" style="8" customWidth="1"/>
    <col min="15087" max="15087" width="39.28515625" style="8" customWidth="1"/>
    <col min="15088" max="15088" width="16.5703125" style="8" customWidth="1"/>
    <col min="15089" max="15089" width="17.5703125" style="8" customWidth="1"/>
    <col min="15090" max="15090" width="16.140625" style="8" customWidth="1"/>
    <col min="15091" max="15091" width="14.28515625" style="8" customWidth="1"/>
    <col min="15092" max="15092" width="21" style="8" customWidth="1"/>
    <col min="15093" max="15093" width="12.140625" style="8" customWidth="1"/>
    <col min="15094" max="15094" width="10.7109375" style="8" bestFit="1" customWidth="1"/>
    <col min="15095" max="15340" width="9.140625" style="8"/>
    <col min="15341" max="15341" width="4.42578125" style="8" customWidth="1"/>
    <col min="15342" max="15342" width="17.85546875" style="8" customWidth="1"/>
    <col min="15343" max="15343" width="39.28515625" style="8" customWidth="1"/>
    <col min="15344" max="15344" width="16.5703125" style="8" customWidth="1"/>
    <col min="15345" max="15345" width="17.5703125" style="8" customWidth="1"/>
    <col min="15346" max="15346" width="16.140625" style="8" customWidth="1"/>
    <col min="15347" max="15347" width="14.28515625" style="8" customWidth="1"/>
    <col min="15348" max="15348" width="21" style="8" customWidth="1"/>
    <col min="15349" max="15349" width="12.140625" style="8" customWidth="1"/>
    <col min="15350" max="15350" width="10.7109375" style="8" bestFit="1" customWidth="1"/>
    <col min="15351" max="15596" width="9.140625" style="8"/>
    <col min="15597" max="15597" width="4.42578125" style="8" customWidth="1"/>
    <col min="15598" max="15598" width="17.85546875" style="8" customWidth="1"/>
    <col min="15599" max="15599" width="39.28515625" style="8" customWidth="1"/>
    <col min="15600" max="15600" width="16.5703125" style="8" customWidth="1"/>
    <col min="15601" max="15601" width="17.5703125" style="8" customWidth="1"/>
    <col min="15602" max="15602" width="16.140625" style="8" customWidth="1"/>
    <col min="15603" max="15603" width="14.28515625" style="8" customWidth="1"/>
    <col min="15604" max="15604" width="21" style="8" customWidth="1"/>
    <col min="15605" max="15605" width="12.140625" style="8" customWidth="1"/>
    <col min="15606" max="15606" width="10.7109375" style="8" bestFit="1" customWidth="1"/>
    <col min="15607" max="15852" width="9.140625" style="8"/>
    <col min="15853" max="15853" width="4.42578125" style="8" customWidth="1"/>
    <col min="15854" max="15854" width="17.85546875" style="8" customWidth="1"/>
    <col min="15855" max="15855" width="39.28515625" style="8" customWidth="1"/>
    <col min="15856" max="15856" width="16.5703125" style="8" customWidth="1"/>
    <col min="15857" max="15857" width="17.5703125" style="8" customWidth="1"/>
    <col min="15858" max="15858" width="16.140625" style="8" customWidth="1"/>
    <col min="15859" max="15859" width="14.28515625" style="8" customWidth="1"/>
    <col min="15860" max="15860" width="21" style="8" customWidth="1"/>
    <col min="15861" max="15861" width="12.140625" style="8" customWidth="1"/>
    <col min="15862" max="15862" width="10.7109375" style="8" bestFit="1" customWidth="1"/>
    <col min="15863" max="16108" width="9.140625" style="8"/>
    <col min="16109" max="16109" width="4.42578125" style="8" customWidth="1"/>
    <col min="16110" max="16110" width="17.85546875" style="8" customWidth="1"/>
    <col min="16111" max="16111" width="39.28515625" style="8" customWidth="1"/>
    <col min="16112" max="16112" width="16.5703125" style="8" customWidth="1"/>
    <col min="16113" max="16113" width="17.5703125" style="8" customWidth="1"/>
    <col min="16114" max="16114" width="16.140625" style="8" customWidth="1"/>
    <col min="16115" max="16115" width="14.28515625" style="8" customWidth="1"/>
    <col min="16116" max="16116" width="21" style="8" customWidth="1"/>
    <col min="16117" max="16117" width="12.140625" style="8" customWidth="1"/>
    <col min="16118" max="16118" width="10.7109375" style="8" bestFit="1" customWidth="1"/>
    <col min="16119" max="16384" width="9.140625" style="8"/>
  </cols>
  <sheetData>
    <row r="1" spans="1:8">
      <c r="A1" s="6" t="s">
        <v>20</v>
      </c>
      <c r="B1" s="6"/>
      <c r="C1" s="6"/>
      <c r="D1" s="6"/>
      <c r="E1" s="7"/>
      <c r="F1" s="6"/>
      <c r="G1" s="6"/>
      <c r="H1" s="309" t="str">
        <f>+'1'!C9</f>
        <v xml:space="preserve">№ </v>
      </c>
    </row>
    <row r="2" spans="1:8">
      <c r="A2" s="9" t="s">
        <v>21</v>
      </c>
      <c r="B2" s="10"/>
      <c r="C2" s="6"/>
      <c r="D2" s="6"/>
      <c r="E2" s="7"/>
      <c r="F2" s="6"/>
      <c r="G2" s="6"/>
      <c r="H2" s="6"/>
    </row>
    <row r="3" spans="1:8">
      <c r="A3" s="6"/>
      <c r="B3" s="6"/>
      <c r="C3" s="6"/>
      <c r="D3" s="6"/>
      <c r="E3" s="7"/>
      <c r="F3" s="6"/>
      <c r="G3" s="6"/>
      <c r="H3" s="6"/>
    </row>
    <row r="4" spans="1:8" ht="18.75">
      <c r="A4" s="9" t="s">
        <v>22</v>
      </c>
      <c r="B4" s="10"/>
      <c r="C4" s="11" t="s">
        <v>23</v>
      </c>
      <c r="D4" s="6"/>
      <c r="E4" s="7"/>
      <c r="F4" s="12"/>
      <c r="G4" s="6"/>
      <c r="H4" s="6"/>
    </row>
    <row r="5" spans="1:8">
      <c r="A5" s="6"/>
      <c r="B5" s="10"/>
      <c r="C5" s="952" t="s">
        <v>24</v>
      </c>
      <c r="D5" s="952"/>
      <c r="E5" s="952"/>
      <c r="F5" s="952"/>
      <c r="G5" s="13">
        <f>+H67</f>
        <v>8446.3957173765739</v>
      </c>
      <c r="H5" s="14" t="s">
        <v>25</v>
      </c>
    </row>
    <row r="6" spans="1:8" s="19" customFormat="1" ht="12.75">
      <c r="A6" s="15"/>
      <c r="B6" s="15"/>
      <c r="C6" s="15"/>
      <c r="D6" s="15"/>
      <c r="E6" s="16"/>
      <c r="F6" s="15"/>
      <c r="G6" s="17"/>
      <c r="H6" s="18"/>
    </row>
    <row r="7" spans="1:8" ht="25.5" customHeight="1">
      <c r="A7" s="6"/>
      <c r="B7" s="953"/>
      <c r="C7" s="953"/>
      <c r="D7" s="954" t="s">
        <v>26</v>
      </c>
      <c r="E7" s="954"/>
      <c r="F7" s="954"/>
      <c r="G7" s="20">
        <f>H37*0.15</f>
        <v>14.618428738762056</v>
      </c>
      <c r="H7" s="14" t="s">
        <v>25</v>
      </c>
    </row>
    <row r="8" spans="1:8">
      <c r="A8" s="6"/>
      <c r="B8" s="6"/>
      <c r="C8" s="6"/>
      <c r="D8" s="12"/>
      <c r="E8" s="21"/>
      <c r="F8" s="12"/>
      <c r="G8" s="6" t="s">
        <v>20</v>
      </c>
      <c r="H8" s="6"/>
    </row>
    <row r="9" spans="1:8" ht="18.75">
      <c r="A9" s="22" t="s">
        <v>27</v>
      </c>
      <c r="B9" s="22"/>
      <c r="C9" s="22"/>
      <c r="D9" s="22"/>
      <c r="E9" s="22"/>
      <c r="F9" s="22"/>
      <c r="G9" s="22"/>
      <c r="H9" s="22"/>
    </row>
    <row r="10" spans="1:8" s="25" customFormat="1" ht="12.75">
      <c r="A10" s="23"/>
      <c r="B10" s="23"/>
      <c r="C10" s="23"/>
      <c r="D10" s="23"/>
      <c r="E10" s="24"/>
      <c r="F10" s="23"/>
      <c r="G10" s="23"/>
      <c r="H10" s="23"/>
    </row>
    <row r="11" spans="1:8" ht="41.25" customHeight="1">
      <c r="A11" s="955" t="str">
        <f>+'1'!D1</f>
        <v>Վայոց Ձորի Եղեգիս համայնքի բնակավայրերի խմելու ջրի արտաքին ցանցի վերանորոգում</v>
      </c>
      <c r="B11" s="955"/>
      <c r="C11" s="955"/>
      <c r="D11" s="955"/>
      <c r="E11" s="955"/>
      <c r="F11" s="955"/>
      <c r="G11" s="955"/>
      <c r="H11" s="955"/>
    </row>
    <row r="12" spans="1:8" s="25" customFormat="1" ht="12.75">
      <c r="A12" s="26" t="s">
        <v>28</v>
      </c>
      <c r="B12" s="26"/>
      <c r="C12" s="26"/>
      <c r="D12" s="26"/>
      <c r="E12" s="26"/>
      <c r="F12" s="26"/>
      <c r="G12" s="26"/>
      <c r="H12" s="26"/>
    </row>
    <row r="13" spans="1:8" ht="16.5" thickBot="1">
      <c r="A13" s="27"/>
      <c r="B13" s="27"/>
      <c r="C13" s="6"/>
      <c r="D13" s="6"/>
      <c r="E13" s="7"/>
      <c r="F13" s="6"/>
      <c r="G13" s="6"/>
      <c r="H13" s="6"/>
    </row>
    <row r="14" spans="1:8" ht="16.5" thickTop="1">
      <c r="A14" s="956" t="s">
        <v>29</v>
      </c>
      <c r="B14" s="958" t="s">
        <v>30</v>
      </c>
      <c r="C14" s="960" t="s">
        <v>31</v>
      </c>
      <c r="D14" s="962" t="s">
        <v>32</v>
      </c>
      <c r="E14" s="962"/>
      <c r="F14" s="962"/>
      <c r="G14" s="962"/>
      <c r="H14" s="963"/>
    </row>
    <row r="15" spans="1:8" ht="50.25" customHeight="1" thickBot="1">
      <c r="A15" s="957"/>
      <c r="B15" s="959"/>
      <c r="C15" s="961"/>
      <c r="D15" s="311" t="s">
        <v>33</v>
      </c>
      <c r="E15" s="312" t="s">
        <v>34</v>
      </c>
      <c r="F15" s="313" t="s">
        <v>35</v>
      </c>
      <c r="G15" s="313" t="s">
        <v>36</v>
      </c>
      <c r="H15" s="314" t="s">
        <v>37</v>
      </c>
    </row>
    <row r="16" spans="1:8" s="25" customFormat="1" ht="14.25" thickTop="1" thickBot="1">
      <c r="A16" s="28">
        <v>1</v>
      </c>
      <c r="B16" s="28">
        <v>2</v>
      </c>
      <c r="C16" s="28">
        <v>3</v>
      </c>
      <c r="D16" s="28">
        <v>4</v>
      </c>
      <c r="E16" s="28">
        <v>5</v>
      </c>
      <c r="F16" s="28">
        <v>6</v>
      </c>
      <c r="G16" s="28">
        <v>7</v>
      </c>
      <c r="H16" s="28">
        <v>8</v>
      </c>
    </row>
    <row r="17" spans="1:9" ht="16.5" hidden="1" customHeight="1" thickTop="1">
      <c r="A17" s="29" t="s">
        <v>227</v>
      </c>
      <c r="B17" s="30"/>
      <c r="C17" s="30"/>
      <c r="D17" s="30"/>
      <c r="E17" s="31"/>
      <c r="F17" s="30"/>
      <c r="G17" s="30"/>
      <c r="H17" s="32"/>
    </row>
    <row r="18" spans="1:9" s="40" customFormat="1" ht="16.5" hidden="1" customHeight="1">
      <c r="A18" s="33">
        <v>1</v>
      </c>
      <c r="B18" s="34"/>
      <c r="C18" s="35"/>
      <c r="D18" s="36"/>
      <c r="E18" s="37"/>
      <c r="F18" s="36"/>
      <c r="G18" s="36"/>
      <c r="H18" s="39">
        <f>SUM(D18:G18)-E18</f>
        <v>0</v>
      </c>
    </row>
    <row r="19" spans="1:9" s="40" customFormat="1" ht="16.5" hidden="1" customHeight="1">
      <c r="A19" s="33">
        <f>+A18+1</f>
        <v>2</v>
      </c>
      <c r="B19" s="34"/>
      <c r="C19" s="35"/>
      <c r="D19" s="36"/>
      <c r="E19" s="37"/>
      <c r="F19" s="36"/>
      <c r="G19" s="41"/>
      <c r="H19" s="39">
        <f>SUM(D19:G19)-E19</f>
        <v>0</v>
      </c>
    </row>
    <row r="20" spans="1:9" s="48" customFormat="1" ht="16.5" hidden="1" customHeight="1">
      <c r="A20" s="42"/>
      <c r="B20" s="43"/>
      <c r="C20" s="44" t="s">
        <v>228</v>
      </c>
      <c r="D20" s="171">
        <f>SUM(D18:D19)</f>
        <v>0</v>
      </c>
      <c r="E20" s="458">
        <f>SUM(E18:E19)</f>
        <v>0</v>
      </c>
      <c r="F20" s="171">
        <f>SUM(F18:F19)</f>
        <v>0</v>
      </c>
      <c r="G20" s="45">
        <f>SUM(G18:G19)</f>
        <v>0</v>
      </c>
      <c r="H20" s="46">
        <f>SUM(D20:G20)-E20</f>
        <v>0</v>
      </c>
      <c r="I20" s="47"/>
    </row>
    <row r="21" spans="1:9" ht="18" customHeight="1" thickTop="1">
      <c r="A21" s="49" t="s">
        <v>38</v>
      </c>
      <c r="B21" s="50"/>
      <c r="C21" s="50"/>
      <c r="D21" s="51"/>
      <c r="E21" s="52"/>
      <c r="F21" s="315"/>
      <c r="G21" s="51"/>
      <c r="H21" s="53"/>
    </row>
    <row r="22" spans="1:9" s="40" customFormat="1" ht="38.25" customHeight="1">
      <c r="A22" s="33">
        <v>1</v>
      </c>
      <c r="B22" s="34" t="s">
        <v>39</v>
      </c>
      <c r="C22" s="35" t="str">
        <f>+'1'!E6</f>
        <v>Եղեգիս բնակավայրի խմելու ջրի արտաքին ցանցի վերանորոգում և ՕԿՋ-ի կառուցում</v>
      </c>
      <c r="D22" s="316">
        <f>+'1'!T297</f>
        <v>6497.0794394498043</v>
      </c>
      <c r="E22" s="520">
        <f>+'1'!U300</f>
        <v>5326.8036514610076</v>
      </c>
      <c r="F22" s="171">
        <f>+'1'!T298</f>
        <v>0</v>
      </c>
      <c r="G22" s="36"/>
      <c r="H22" s="39">
        <f t="shared" ref="H22:H33" si="0">SUM(D22:G22)-E22</f>
        <v>6497.0794394498034</v>
      </c>
    </row>
    <row r="23" spans="1:9" s="40" customFormat="1" ht="18" hidden="1" customHeight="1">
      <c r="A23" s="33">
        <f>+A22+1</f>
        <v>2</v>
      </c>
      <c r="B23" s="34" t="s">
        <v>165</v>
      </c>
      <c r="C23" s="35"/>
      <c r="D23" s="316"/>
      <c r="E23" s="520"/>
      <c r="F23" s="171"/>
      <c r="G23" s="36"/>
      <c r="H23" s="39">
        <f>SUM(E23:G23)-E23</f>
        <v>0</v>
      </c>
    </row>
    <row r="24" spans="1:9" s="6" customFormat="1" ht="18" hidden="1" customHeight="1">
      <c r="A24" s="33">
        <f t="shared" ref="A24:A26" si="1">+A23+1</f>
        <v>3</v>
      </c>
      <c r="B24" s="34" t="s">
        <v>166</v>
      </c>
      <c r="C24" s="35"/>
      <c r="D24" s="316"/>
      <c r="E24" s="521"/>
      <c r="F24" s="317"/>
      <c r="G24" s="55"/>
      <c r="H24" s="56">
        <f>SUM(E24:G24)-E24</f>
        <v>0</v>
      </c>
    </row>
    <row r="25" spans="1:9" s="6" customFormat="1" ht="18" hidden="1" customHeight="1">
      <c r="A25" s="33">
        <f t="shared" si="1"/>
        <v>4</v>
      </c>
      <c r="B25" s="34" t="s">
        <v>167</v>
      </c>
      <c r="C25" s="35"/>
      <c r="D25" s="316"/>
      <c r="E25" s="520"/>
      <c r="F25" s="317"/>
      <c r="G25" s="55"/>
      <c r="H25" s="56">
        <f>SUM(E25:G25)-E25</f>
        <v>0</v>
      </c>
    </row>
    <row r="26" spans="1:9" s="40" customFormat="1" ht="18" hidden="1" customHeight="1">
      <c r="A26" s="33">
        <f t="shared" si="1"/>
        <v>5</v>
      </c>
      <c r="B26" s="34" t="s">
        <v>168</v>
      </c>
      <c r="C26" s="35"/>
      <c r="D26" s="316"/>
      <c r="E26" s="520"/>
      <c r="F26" s="171"/>
      <c r="G26" s="36"/>
      <c r="H26" s="39">
        <f>SUM(E26:G26)-E26</f>
        <v>0</v>
      </c>
    </row>
    <row r="27" spans="1:9" s="40" customFormat="1" ht="18" hidden="1" customHeight="1">
      <c r="A27" s="33">
        <v>1</v>
      </c>
      <c r="B27" s="34" t="s">
        <v>131</v>
      </c>
      <c r="C27" s="36"/>
      <c r="D27" s="36"/>
      <c r="E27" s="520"/>
      <c r="F27" s="171"/>
      <c r="G27" s="36"/>
      <c r="H27" s="39">
        <f t="shared" si="0"/>
        <v>0</v>
      </c>
    </row>
    <row r="28" spans="1:9" s="40" customFormat="1" ht="18" hidden="1" customHeight="1">
      <c r="A28" s="33">
        <f t="shared" ref="A28:A33" si="2">+A27+1</f>
        <v>2</v>
      </c>
      <c r="B28" s="34" t="s">
        <v>137</v>
      </c>
      <c r="C28" s="36"/>
      <c r="E28" s="520"/>
      <c r="F28" s="171"/>
      <c r="G28" s="36"/>
      <c r="H28" s="39">
        <f t="shared" si="0"/>
        <v>0</v>
      </c>
    </row>
    <row r="29" spans="1:9" s="40" customFormat="1" ht="18" hidden="1" customHeight="1">
      <c r="A29" s="33">
        <f t="shared" si="2"/>
        <v>3</v>
      </c>
      <c r="B29" s="34" t="s">
        <v>169</v>
      </c>
      <c r="C29" s="35"/>
      <c r="D29" s="316"/>
      <c r="E29" s="520"/>
      <c r="F29" s="171"/>
      <c r="G29" s="36"/>
      <c r="H29" s="39">
        <f t="shared" si="0"/>
        <v>0</v>
      </c>
    </row>
    <row r="30" spans="1:9" s="40" customFormat="1" ht="18" hidden="1" customHeight="1">
      <c r="A30" s="33">
        <f t="shared" si="2"/>
        <v>4</v>
      </c>
      <c r="B30" s="34" t="s">
        <v>170</v>
      </c>
      <c r="C30" s="35"/>
      <c r="D30" s="316"/>
      <c r="E30" s="520"/>
      <c r="F30" s="171"/>
      <c r="G30" s="36"/>
      <c r="H30" s="39">
        <f t="shared" si="0"/>
        <v>0</v>
      </c>
    </row>
    <row r="31" spans="1:9" s="40" customFormat="1" ht="18" hidden="1" customHeight="1">
      <c r="A31" s="33">
        <f t="shared" si="2"/>
        <v>5</v>
      </c>
      <c r="B31" s="34" t="s">
        <v>171</v>
      </c>
      <c r="C31" s="35"/>
      <c r="D31" s="316"/>
      <c r="E31" s="520"/>
      <c r="F31" s="171"/>
      <c r="G31" s="36"/>
      <c r="H31" s="39">
        <f t="shared" si="0"/>
        <v>0</v>
      </c>
    </row>
    <row r="32" spans="1:9" s="40" customFormat="1" ht="18" hidden="1" customHeight="1">
      <c r="A32" s="33">
        <f t="shared" si="2"/>
        <v>6</v>
      </c>
      <c r="B32" s="34" t="s">
        <v>172</v>
      </c>
      <c r="C32" s="35"/>
      <c r="D32" s="316"/>
      <c r="E32" s="520"/>
      <c r="F32" s="171"/>
      <c r="G32" s="36"/>
      <c r="H32" s="39">
        <f t="shared" si="0"/>
        <v>0</v>
      </c>
    </row>
    <row r="33" spans="1:9" s="40" customFormat="1" ht="18" hidden="1" customHeight="1">
      <c r="A33" s="33">
        <f t="shared" si="2"/>
        <v>7</v>
      </c>
      <c r="B33" s="34" t="s">
        <v>173</v>
      </c>
      <c r="C33" s="35"/>
      <c r="D33" s="316"/>
      <c r="E33" s="520"/>
      <c r="F33" s="171"/>
      <c r="G33" s="36"/>
      <c r="H33" s="39">
        <f t="shared" si="0"/>
        <v>0</v>
      </c>
    </row>
    <row r="34" spans="1:9" s="40" customFormat="1" ht="18" customHeight="1">
      <c r="A34" s="33"/>
      <c r="B34" s="57"/>
      <c r="C34" s="44" t="s">
        <v>40</v>
      </c>
      <c r="D34" s="316">
        <f>SUM(D22:D33)</f>
        <v>6497.0794394498043</v>
      </c>
      <c r="E34" s="520">
        <f>SUM(E22:E33)</f>
        <v>5326.8036514610076</v>
      </c>
      <c r="F34" s="171">
        <f>SUM(F22:F33)</f>
        <v>0</v>
      </c>
      <c r="G34" s="36"/>
      <c r="H34" s="39">
        <f>SUM(H22:H33)</f>
        <v>6497.0794394498034</v>
      </c>
    </row>
    <row r="35" spans="1:9" s="40" customFormat="1">
      <c r="A35" s="33"/>
      <c r="B35" s="34"/>
      <c r="C35" s="34" t="s">
        <v>41</v>
      </c>
      <c r="D35" s="316">
        <f>+D34+D20</f>
        <v>6497.0794394498043</v>
      </c>
      <c r="E35" s="520">
        <f>+E34+E20</f>
        <v>5326.8036514610076</v>
      </c>
      <c r="F35" s="171">
        <f>+F34</f>
        <v>0</v>
      </c>
      <c r="G35" s="36">
        <f>+G20</f>
        <v>0</v>
      </c>
      <c r="H35" s="39">
        <f>SUM(D35:G35)-E35</f>
        <v>6497.0794394498034</v>
      </c>
      <c r="I35" s="58"/>
    </row>
    <row r="36" spans="1:9" s="40" customFormat="1" ht="21" customHeight="1">
      <c r="A36" s="318" t="s">
        <v>42</v>
      </c>
      <c r="B36" s="319"/>
      <c r="C36" s="320"/>
      <c r="D36" s="321"/>
      <c r="E36" s="522"/>
      <c r="F36" s="322"/>
      <c r="G36" s="61"/>
      <c r="H36" s="53"/>
    </row>
    <row r="37" spans="1:9" s="40" customFormat="1" ht="18" customHeight="1">
      <c r="A37" s="33">
        <v>2</v>
      </c>
      <c r="B37" s="63">
        <v>1.4999999999999999E-2</v>
      </c>
      <c r="C37" s="35" t="s">
        <v>43</v>
      </c>
      <c r="D37" s="36">
        <f>+D35*$B$37</f>
        <v>97.456191591747057</v>
      </c>
      <c r="E37" s="37">
        <f>+E35*$B$37</f>
        <v>79.902054771915104</v>
      </c>
      <c r="F37" s="171">
        <f>+F35</f>
        <v>0</v>
      </c>
      <c r="G37" s="36"/>
      <c r="H37" s="39">
        <f>SUM(D37:G37)-E37</f>
        <v>97.456191591747043</v>
      </c>
    </row>
    <row r="38" spans="1:9" s="40" customFormat="1">
      <c r="A38" s="33"/>
      <c r="B38" s="57"/>
      <c r="C38" s="44" t="s">
        <v>44</v>
      </c>
      <c r="D38" s="36">
        <f>+D37</f>
        <v>97.456191591747057</v>
      </c>
      <c r="E38" s="37">
        <f>+E37</f>
        <v>79.902054771915104</v>
      </c>
      <c r="F38" s="171">
        <f>+F37</f>
        <v>0</v>
      </c>
      <c r="G38" s="36"/>
      <c r="H38" s="39">
        <f>SUM(D38:G38)-E38</f>
        <v>97.456191591747043</v>
      </c>
    </row>
    <row r="39" spans="1:9" s="40" customFormat="1">
      <c r="A39" s="33"/>
      <c r="B39" s="34"/>
      <c r="C39" s="34" t="s">
        <v>45</v>
      </c>
      <c r="D39" s="323">
        <f>+D35+D38</f>
        <v>6594.5356310415518</v>
      </c>
      <c r="E39" s="37">
        <f>+E35+E38</f>
        <v>5406.7057062329222</v>
      </c>
      <c r="F39" s="171">
        <f>+F38</f>
        <v>0</v>
      </c>
      <c r="G39" s="36">
        <f>+G35</f>
        <v>0</v>
      </c>
      <c r="H39" s="39">
        <f>SUM(D39:G39)-E39</f>
        <v>6594.5356310415518</v>
      </c>
    </row>
    <row r="40" spans="1:9" s="40" customFormat="1">
      <c r="A40" s="59" t="s">
        <v>46</v>
      </c>
      <c r="B40" s="60"/>
      <c r="C40" s="60"/>
      <c r="D40" s="61"/>
      <c r="E40" s="62"/>
      <c r="F40" s="322"/>
      <c r="G40" s="61"/>
      <c r="H40" s="53"/>
    </row>
    <row r="41" spans="1:9" s="40" customFormat="1">
      <c r="A41" s="33">
        <f>+A37+1</f>
        <v>3</v>
      </c>
      <c r="B41" s="63">
        <v>0.01</v>
      </c>
      <c r="C41" s="35" t="s">
        <v>138</v>
      </c>
      <c r="D41" s="36">
        <f>+D39*$B$41</f>
        <v>65.945356310415519</v>
      </c>
      <c r="E41" s="37">
        <f>+E39*$B$41</f>
        <v>54.067057062329226</v>
      </c>
      <c r="F41" s="171"/>
      <c r="G41" s="36"/>
      <c r="H41" s="39">
        <f t="shared" ref="H41:H48" si="3">SUM(D41:G41)-E41</f>
        <v>65.945356310415519</v>
      </c>
    </row>
    <row r="42" spans="1:9" s="40" customFormat="1">
      <c r="A42" s="33"/>
      <c r="B42" s="57"/>
      <c r="C42" s="35" t="s">
        <v>54</v>
      </c>
      <c r="D42" s="36">
        <f>+D41+D39</f>
        <v>6660.4809873519671</v>
      </c>
      <c r="E42" s="37">
        <f>+E41+E39</f>
        <v>5460.772763295251</v>
      </c>
      <c r="F42" s="171">
        <f>+F41+F39</f>
        <v>0</v>
      </c>
      <c r="G42" s="36"/>
      <c r="H42" s="39">
        <f t="shared" si="3"/>
        <v>6660.4809873519671</v>
      </c>
      <c r="I42" s="64"/>
    </row>
    <row r="43" spans="1:9" s="324" customFormat="1" hidden="1">
      <c r="A43" s="33">
        <f>+A41+1</f>
        <v>4</v>
      </c>
      <c r="B43" s="57"/>
      <c r="C43" s="34" t="s">
        <v>139</v>
      </c>
      <c r="D43" s="36">
        <f>D42*$B$43</f>
        <v>0</v>
      </c>
      <c r="E43" s="37">
        <f>E41*$B$41</f>
        <v>0.54067057062329227</v>
      </c>
      <c r="F43" s="171"/>
      <c r="G43" s="36"/>
      <c r="H43" s="39">
        <f t="shared" si="3"/>
        <v>0</v>
      </c>
    </row>
    <row r="44" spans="1:9" s="324" customFormat="1" hidden="1">
      <c r="A44" s="33"/>
      <c r="B44" s="57"/>
      <c r="C44" s="34" t="s">
        <v>54</v>
      </c>
      <c r="D44" s="36">
        <f>+D42+D43</f>
        <v>6660.4809873519671</v>
      </c>
      <c r="E44" s="37">
        <f>+E41+E43</f>
        <v>54.607727632952518</v>
      </c>
      <c r="F44" s="171">
        <f>+F41+F43</f>
        <v>0</v>
      </c>
      <c r="G44" s="36"/>
      <c r="H44" s="39">
        <f t="shared" si="3"/>
        <v>6660.4809873519671</v>
      </c>
    </row>
    <row r="45" spans="1:9" s="324" customFormat="1" hidden="1">
      <c r="A45" s="33">
        <f>+A43+1</f>
        <v>5</v>
      </c>
      <c r="B45" s="63"/>
      <c r="C45" s="34" t="s">
        <v>140</v>
      </c>
      <c r="D45" s="36"/>
      <c r="E45" s="37">
        <f>E43*$B$41</f>
        <v>5.4067057062329232E-3</v>
      </c>
      <c r="F45" s="171"/>
      <c r="G45" s="36">
        <f>D39*$B$45</f>
        <v>0</v>
      </c>
      <c r="H45" s="39">
        <f t="shared" si="3"/>
        <v>0</v>
      </c>
    </row>
    <row r="46" spans="1:9" s="324" customFormat="1" hidden="1">
      <c r="A46" s="33"/>
      <c r="B46" s="57"/>
      <c r="C46" s="34" t="s">
        <v>54</v>
      </c>
      <c r="D46" s="36">
        <f>+D44+G45</f>
        <v>6660.4809873519671</v>
      </c>
      <c r="E46" s="37">
        <f>+E43+E45</f>
        <v>0.54607727632952519</v>
      </c>
      <c r="F46" s="171">
        <f>+F43+F45</f>
        <v>0</v>
      </c>
      <c r="G46" s="36">
        <f>+G45+G39</f>
        <v>0</v>
      </c>
      <c r="H46" s="39">
        <f t="shared" ref="H46" si="4">SUM(D46:G46)-E46</f>
        <v>6660.4809873519671</v>
      </c>
    </row>
    <row r="47" spans="1:9" s="40" customFormat="1">
      <c r="A47" s="33"/>
      <c r="B47" s="57"/>
      <c r="C47" s="44" t="s">
        <v>47</v>
      </c>
      <c r="D47" s="36">
        <f>+D41+D43</f>
        <v>65.945356310415519</v>
      </c>
      <c r="E47" s="37">
        <f>+E41</f>
        <v>54.067057062329226</v>
      </c>
      <c r="F47" s="171">
        <f>+F41</f>
        <v>0</v>
      </c>
      <c r="G47" s="36">
        <f>+G45</f>
        <v>0</v>
      </c>
      <c r="H47" s="39">
        <f t="shared" si="3"/>
        <v>65.945356310415519</v>
      </c>
    </row>
    <row r="48" spans="1:9" s="40" customFormat="1" ht="15" customHeight="1">
      <c r="A48" s="33"/>
      <c r="B48" s="34"/>
      <c r="C48" s="34" t="s">
        <v>48</v>
      </c>
      <c r="D48" s="36">
        <f>+D44</f>
        <v>6660.4809873519671</v>
      </c>
      <c r="E48" s="37">
        <f>+E39+E47</f>
        <v>5460.772763295251</v>
      </c>
      <c r="F48" s="171">
        <f>+F39+F47</f>
        <v>0</v>
      </c>
      <c r="G48" s="36">
        <f>+G47+G39</f>
        <v>0</v>
      </c>
      <c r="H48" s="39">
        <f t="shared" si="3"/>
        <v>6660.4809873519671</v>
      </c>
    </row>
    <row r="49" spans="1:10" s="40" customFormat="1" ht="17.25" customHeight="1">
      <c r="A49" s="59" t="s">
        <v>49</v>
      </c>
      <c r="B49" s="60"/>
      <c r="C49" s="325"/>
      <c r="D49" s="61"/>
      <c r="E49" s="62"/>
      <c r="F49" s="322"/>
      <c r="G49" s="61"/>
      <c r="H49" s="53"/>
    </row>
    <row r="50" spans="1:10" s="40" customFormat="1" ht="19.5" customHeight="1">
      <c r="A50" s="33">
        <f>+A41+1</f>
        <v>4</v>
      </c>
      <c r="B50" s="57">
        <v>0.02</v>
      </c>
      <c r="C50" s="326" t="s">
        <v>141</v>
      </c>
      <c r="D50" s="36"/>
      <c r="E50" s="37"/>
      <c r="F50" s="171"/>
      <c r="G50" s="36">
        <f>+D48*B50*1.2</f>
        <v>159.85154369644721</v>
      </c>
      <c r="H50" s="39">
        <f>SUM(D50:G50)-E50</f>
        <v>159.85154369644721</v>
      </c>
    </row>
    <row r="51" spans="1:10" s="40" customFormat="1" ht="19.5" customHeight="1">
      <c r="A51" s="33">
        <f>+A50+1</f>
        <v>5</v>
      </c>
      <c r="B51" s="57">
        <v>6.0000000000000001E-3</v>
      </c>
      <c r="C51" s="326" t="s">
        <v>142</v>
      </c>
      <c r="D51" s="36"/>
      <c r="E51" s="37"/>
      <c r="F51" s="171"/>
      <c r="G51" s="36">
        <f>+D48*B51*1.2</f>
        <v>47.955463108934161</v>
      </c>
      <c r="H51" s="39">
        <f>SUM(D51:G51)-E51</f>
        <v>47.955463108934161</v>
      </c>
      <c r="I51" s="64"/>
      <c r="J51" s="64"/>
    </row>
    <row r="52" spans="1:10" s="40" customFormat="1">
      <c r="A52" s="33"/>
      <c r="B52" s="57"/>
      <c r="C52" s="44" t="s">
        <v>50</v>
      </c>
      <c r="D52" s="38"/>
      <c r="E52" s="37"/>
      <c r="F52" s="171"/>
      <c r="G52" s="36">
        <f>SUM(G50:G51)</f>
        <v>207.80700680538138</v>
      </c>
      <c r="H52" s="39">
        <f>SUM(D52:G52)-E52</f>
        <v>207.80700680538138</v>
      </c>
    </row>
    <row r="53" spans="1:10" s="40" customFormat="1">
      <c r="A53" s="33"/>
      <c r="B53" s="34"/>
      <c r="C53" s="34" t="s">
        <v>51</v>
      </c>
      <c r="D53" s="36">
        <f>+D48</f>
        <v>6660.4809873519671</v>
      </c>
      <c r="E53" s="37">
        <f>+E48</f>
        <v>5460.772763295251</v>
      </c>
      <c r="F53" s="171">
        <f>+F48</f>
        <v>0</v>
      </c>
      <c r="G53" s="36">
        <f>+G52+G48</f>
        <v>207.80700680538138</v>
      </c>
      <c r="H53" s="39">
        <f>SUM(D53:G53)-E53</f>
        <v>6868.2879941573492</v>
      </c>
      <c r="I53" s="58"/>
    </row>
    <row r="54" spans="1:10" s="40" customFormat="1">
      <c r="A54" s="59" t="s">
        <v>52</v>
      </c>
      <c r="B54" s="60"/>
      <c r="C54" s="60"/>
      <c r="D54" s="61"/>
      <c r="E54" s="62"/>
      <c r="F54" s="327"/>
      <c r="G54" s="61"/>
      <c r="H54" s="53"/>
      <c r="J54" s="64"/>
    </row>
    <row r="55" spans="1:10" s="40" customFormat="1">
      <c r="A55" s="33">
        <f>+A51+1</f>
        <v>6</v>
      </c>
      <c r="B55" s="65">
        <v>0.03</v>
      </c>
      <c r="C55" s="34" t="s">
        <v>53</v>
      </c>
      <c r="D55" s="36">
        <f>+D53*$B$55</f>
        <v>199.814429620559</v>
      </c>
      <c r="E55" s="37">
        <f>+E53*$B$55</f>
        <v>163.82318289885754</v>
      </c>
      <c r="F55" s="171">
        <f>+F53*$B$55</f>
        <v>0</v>
      </c>
      <c r="G55" s="54">
        <f>+G53*B55</f>
        <v>6.2342102041614407</v>
      </c>
      <c r="H55" s="39">
        <f>SUM(D55:G55)-E55</f>
        <v>206.04863982472042</v>
      </c>
      <c r="I55" s="64"/>
      <c r="J55" s="64"/>
    </row>
    <row r="56" spans="1:10" s="40" customFormat="1">
      <c r="A56" s="33"/>
      <c r="B56" s="57"/>
      <c r="C56" s="35" t="s">
        <v>54</v>
      </c>
      <c r="D56" s="36">
        <f>+D55+D53</f>
        <v>6860.2954169725263</v>
      </c>
      <c r="E56" s="37">
        <f>+E55+E53</f>
        <v>5624.5959461941084</v>
      </c>
      <c r="F56" s="171">
        <f>+F55+F53</f>
        <v>0</v>
      </c>
      <c r="G56" s="36">
        <f>+G55+G53</f>
        <v>214.04121700954281</v>
      </c>
      <c r="H56" s="39">
        <f>SUM(D56:G56)-E56</f>
        <v>7074.3366339820686</v>
      </c>
      <c r="I56" s="64"/>
    </row>
    <row r="57" spans="1:10" s="40" customFormat="1">
      <c r="A57" s="33"/>
      <c r="B57" s="57"/>
      <c r="C57" s="35"/>
      <c r="D57" s="36"/>
      <c r="E57" s="37"/>
      <c r="F57" s="171"/>
      <c r="G57" s="36"/>
      <c r="H57" s="39"/>
    </row>
    <row r="58" spans="1:10" s="71" customFormat="1">
      <c r="A58" s="66"/>
      <c r="B58" s="67">
        <v>0.2</v>
      </c>
      <c r="C58" s="68" t="s">
        <v>55</v>
      </c>
      <c r="D58" s="69">
        <f>+D56*$B$58</f>
        <v>1372.0590833945053</v>
      </c>
      <c r="E58" s="70">
        <f>+E56*$B$58</f>
        <v>1124.9191892388217</v>
      </c>
      <c r="F58" s="328">
        <f>+F56*$B$58</f>
        <v>0</v>
      </c>
      <c r="G58" s="69"/>
      <c r="H58" s="46">
        <f>SUM(D58:G58)-E58</f>
        <v>1372.0590833945053</v>
      </c>
    </row>
    <row r="59" spans="1:10" s="48" customFormat="1">
      <c r="A59" s="72"/>
      <c r="B59" s="73"/>
      <c r="C59" s="74" t="s">
        <v>56</v>
      </c>
      <c r="D59" s="75">
        <f>+D58+D56</f>
        <v>8232.3545003670315</v>
      </c>
      <c r="E59" s="76">
        <f>+E58+E56</f>
        <v>6749.51513543293</v>
      </c>
      <c r="F59" s="329">
        <f>+F58+F56</f>
        <v>0</v>
      </c>
      <c r="G59" s="75">
        <f>+G58+G56</f>
        <v>214.04121700954281</v>
      </c>
      <c r="H59" s="46">
        <f>SUM(D59:G59)-E59</f>
        <v>8446.3957173765739</v>
      </c>
      <c r="J59" s="47"/>
    </row>
    <row r="60" spans="1:10" s="40" customFormat="1">
      <c r="A60" s="59"/>
      <c r="B60" s="60"/>
      <c r="C60" s="60"/>
      <c r="D60" s="61"/>
      <c r="E60" s="62"/>
      <c r="F60" s="327"/>
      <c r="G60" s="61"/>
      <c r="H60" s="53"/>
    </row>
    <row r="61" spans="1:10" s="40" customFormat="1">
      <c r="A61" s="59" t="s">
        <v>57</v>
      </c>
      <c r="B61" s="60"/>
      <c r="C61" s="60"/>
      <c r="D61" s="61"/>
      <c r="E61" s="62"/>
      <c r="F61" s="61"/>
      <c r="G61" s="61"/>
      <c r="H61" s="53"/>
    </row>
    <row r="62" spans="1:10" s="40" customFormat="1" ht="31.5">
      <c r="A62" s="33">
        <f>+A55+1</f>
        <v>7</v>
      </c>
      <c r="B62" s="77" t="s">
        <v>353</v>
      </c>
      <c r="C62" s="35" t="s">
        <v>143</v>
      </c>
      <c r="D62" s="36"/>
      <c r="E62" s="37"/>
      <c r="F62" s="36"/>
      <c r="G62" s="456"/>
      <c r="H62" s="78">
        <f>SUM(D62:G62)</f>
        <v>0</v>
      </c>
    </row>
    <row r="63" spans="1:10" s="40" customFormat="1">
      <c r="A63" s="33"/>
      <c r="B63" s="77"/>
      <c r="C63" s="35"/>
      <c r="D63" s="36"/>
      <c r="E63" s="37"/>
      <c r="F63" s="36"/>
      <c r="G63" s="79"/>
      <c r="H63" s="78">
        <f>SUM(D63:G63)</f>
        <v>0</v>
      </c>
      <c r="J63" s="58"/>
    </row>
    <row r="64" spans="1:10" s="40" customFormat="1" ht="21" customHeight="1">
      <c r="A64" s="80">
        <f>+A62+1</f>
        <v>8</v>
      </c>
      <c r="B64" s="77" t="s">
        <v>353</v>
      </c>
      <c r="C64" s="81" t="s">
        <v>58</v>
      </c>
      <c r="D64" s="82"/>
      <c r="E64" s="83"/>
      <c r="F64" s="82"/>
      <c r="G64" s="84"/>
      <c r="H64" s="85">
        <f>SUM(D64:G64)</f>
        <v>0</v>
      </c>
    </row>
    <row r="65" spans="1:15" s="40" customFormat="1" ht="16.5" thickBot="1">
      <c r="A65" s="33"/>
      <c r="B65" s="57"/>
      <c r="C65" s="44" t="s">
        <v>59</v>
      </c>
      <c r="D65" s="38"/>
      <c r="E65" s="37"/>
      <c r="F65" s="36"/>
      <c r="G65" s="36">
        <f>SUM(G62:G64)</f>
        <v>0</v>
      </c>
      <c r="H65" s="39">
        <f>SUM(D65:G65)-E65</f>
        <v>0</v>
      </c>
    </row>
    <row r="66" spans="1:15" s="40" customFormat="1" ht="32.25" hidden="1" customHeight="1" thickBot="1">
      <c r="A66" s="86"/>
      <c r="B66" s="87"/>
      <c r="C66" s="88" t="s">
        <v>60</v>
      </c>
      <c r="D66" s="89"/>
      <c r="E66" s="90"/>
      <c r="F66" s="89"/>
      <c r="G66" s="91"/>
      <c r="H66" s="92">
        <f>SUM(G66)</f>
        <v>0</v>
      </c>
    </row>
    <row r="67" spans="1:15" ht="17.25" thickTop="1" thickBot="1">
      <c r="A67" s="93"/>
      <c r="B67" s="950" t="s">
        <v>61</v>
      </c>
      <c r="C67" s="951"/>
      <c r="D67" s="94">
        <f>D59+D65</f>
        <v>8232.3545003670315</v>
      </c>
      <c r="E67" s="95">
        <f>E59+E65</f>
        <v>6749.51513543293</v>
      </c>
      <c r="F67" s="95">
        <f>F59+F65</f>
        <v>0</v>
      </c>
      <c r="G67" s="94">
        <f>G59+G65+G66</f>
        <v>214.04121700954281</v>
      </c>
      <c r="H67" s="94">
        <f>H59+H65+H66</f>
        <v>8446.3957173765739</v>
      </c>
      <c r="I67" s="96">
        <f>+D67+G67+F67</f>
        <v>8446.3957173765739</v>
      </c>
      <c r="J67" s="96"/>
    </row>
    <row r="68" spans="1:15" ht="16.5" hidden="1" thickTop="1">
      <c r="A68" s="97"/>
      <c r="B68" s="97"/>
      <c r="C68" s="98"/>
      <c r="D68" s="99"/>
      <c r="E68" s="99"/>
      <c r="F68" s="99"/>
      <c r="G68" s="99"/>
      <c r="H68" s="100"/>
    </row>
    <row r="69" spans="1:15" ht="15.75" hidden="1" customHeight="1">
      <c r="A69" s="97"/>
      <c r="B69" s="97"/>
      <c r="C69" s="98"/>
      <c r="D69" s="99"/>
      <c r="E69" s="99"/>
      <c r="F69" s="99"/>
      <c r="G69" s="99"/>
      <c r="H69" s="100"/>
    </row>
    <row r="70" spans="1:15" ht="16.5" thickTop="1">
      <c r="A70" s="97"/>
      <c r="B70" s="97"/>
      <c r="C70" s="98"/>
      <c r="D70" s="99"/>
      <c r="E70" s="99"/>
      <c r="F70" s="99"/>
      <c r="G70" s="99"/>
      <c r="H70" s="100"/>
      <c r="J70" s="101"/>
      <c r="K70" s="101"/>
      <c r="L70" s="101"/>
      <c r="M70" s="101"/>
      <c r="N70" s="101"/>
      <c r="O70" s="101"/>
    </row>
    <row r="71" spans="1:15">
      <c r="B71" s="310"/>
      <c r="C71" s="102" t="s">
        <v>62</v>
      </c>
      <c r="D71" s="103"/>
      <c r="E71" s="104"/>
      <c r="F71" s="103" t="s">
        <v>144</v>
      </c>
      <c r="G71" s="310"/>
      <c r="H71" s="310"/>
      <c r="I71" s="96"/>
      <c r="J71" s="105"/>
      <c r="K71" s="106"/>
      <c r="L71" s="106"/>
      <c r="M71" s="101"/>
      <c r="N71" s="101"/>
      <c r="O71" s="101"/>
    </row>
    <row r="72" spans="1:15">
      <c r="A72" s="107"/>
      <c r="B72" s="107"/>
      <c r="C72" s="108"/>
      <c r="E72" s="8"/>
      <c r="G72" s="107"/>
      <c r="H72" s="107"/>
      <c r="J72" s="330"/>
      <c r="K72" s="106"/>
      <c r="L72" s="106"/>
      <c r="M72" s="101"/>
      <c r="N72" s="101"/>
      <c r="O72" s="101"/>
    </row>
    <row r="73" spans="1:15">
      <c r="A73" s="107"/>
      <c r="B73" s="107"/>
      <c r="C73" s="108"/>
      <c r="E73" s="8"/>
      <c r="G73" s="107"/>
      <c r="H73" s="107"/>
      <c r="J73" s="330"/>
      <c r="K73" s="106"/>
      <c r="L73" s="106"/>
      <c r="M73" s="101"/>
      <c r="N73" s="101"/>
      <c r="O73" s="101"/>
    </row>
    <row r="74" spans="1:15">
      <c r="C74" s="108"/>
      <c r="D74" s="109"/>
      <c r="E74" s="110"/>
      <c r="J74" s="330"/>
      <c r="K74" s="106"/>
      <c r="L74" s="106"/>
      <c r="M74" s="101"/>
      <c r="N74" s="101"/>
      <c r="O74" s="101"/>
    </row>
    <row r="75" spans="1:15">
      <c r="D75" s="111"/>
      <c r="E75" s="110"/>
      <c r="F75" s="96"/>
      <c r="G75" s="111"/>
      <c r="H75" s="96"/>
      <c r="J75" s="331"/>
      <c r="K75" s="101"/>
      <c r="L75" s="101"/>
      <c r="M75" s="101"/>
      <c r="N75" s="101"/>
      <c r="O75" s="101"/>
    </row>
    <row r="76" spans="1:15">
      <c r="E76" s="112"/>
      <c r="J76" s="101"/>
      <c r="K76" s="101"/>
      <c r="L76" s="101"/>
      <c r="M76" s="101"/>
      <c r="N76" s="101"/>
      <c r="O76" s="101"/>
    </row>
    <row r="77" spans="1:15">
      <c r="J77" s="101"/>
      <c r="K77" s="101"/>
      <c r="L77" s="101"/>
      <c r="M77" s="101"/>
      <c r="N77" s="101"/>
      <c r="O77" s="101"/>
    </row>
    <row r="78" spans="1:15">
      <c r="J78" s="101"/>
      <c r="K78" s="101"/>
      <c r="L78" s="101"/>
      <c r="M78" s="101"/>
      <c r="N78" s="101"/>
      <c r="O78" s="101"/>
    </row>
    <row r="79" spans="1:15">
      <c r="D79" s="108"/>
      <c r="E79" s="110"/>
    </row>
  </sheetData>
  <mergeCells count="9">
    <mergeCell ref="B67:C67"/>
    <mergeCell ref="C5:F5"/>
    <mergeCell ref="B7:C7"/>
    <mergeCell ref="D7:F7"/>
    <mergeCell ref="A11:H11"/>
    <mergeCell ref="A14:A15"/>
    <mergeCell ref="B14:B15"/>
    <mergeCell ref="C14:C15"/>
    <mergeCell ref="D14:H14"/>
  </mergeCells>
  <printOptions horizontalCentered="1"/>
  <pageMargins left="0" right="0" top="1" bottom="0" header="0.31496062992126" footer="0.118110236220472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V302"/>
  <sheetViews>
    <sheetView view="pageBreakPreview" topLeftCell="A265" zoomScale="115" zoomScaleNormal="115" zoomScaleSheetLayoutView="115" workbookViewId="0">
      <selection activeCell="A21" sqref="A21:XFD292"/>
    </sheetView>
  </sheetViews>
  <sheetFormatPr defaultRowHeight="15"/>
  <cols>
    <col min="1" max="1" width="3.42578125" style="625" customWidth="1"/>
    <col min="2" max="2" width="8.140625" style="830" customWidth="1"/>
    <col min="3" max="3" width="34" style="519" customWidth="1"/>
    <col min="4" max="4" width="5.85546875" style="168" customWidth="1"/>
    <col min="5" max="5" width="6.28515625" style="608" customWidth="1"/>
    <col min="6" max="7" width="2.140625" style="168" customWidth="1"/>
    <col min="8" max="8" width="2.28515625" style="168" customWidth="1"/>
    <col min="9" max="9" width="1.85546875" style="168" customWidth="1"/>
    <col min="10" max="10" width="2.140625" style="168" customWidth="1"/>
    <col min="11" max="11" width="2.42578125" style="168" customWidth="1"/>
    <col min="12" max="12" width="22.42578125" style="589" customWidth="1"/>
    <col min="13" max="13" width="4.140625" style="168" customWidth="1"/>
    <col min="14" max="14" width="5.5703125" style="608" customWidth="1"/>
    <col min="15" max="15" width="7.5703125" style="608" customWidth="1"/>
    <col min="16" max="16" width="6.85546875" style="608" customWidth="1"/>
    <col min="17" max="17" width="5.28515625" style="168" customWidth="1"/>
    <col min="18" max="18" width="5.5703125" style="168" customWidth="1"/>
    <col min="19" max="19" width="5.42578125" style="168" customWidth="1"/>
    <col min="20" max="20" width="7.42578125" style="168" customWidth="1"/>
    <col min="21" max="21" width="10.140625" style="615" customWidth="1"/>
    <col min="22" max="23" width="9.140625" style="158" hidden="1" customWidth="1"/>
    <col min="24" max="24" width="25.42578125" style="158" customWidth="1"/>
    <col min="25" max="25" width="15.140625" style="158" bestFit="1" customWidth="1"/>
    <col min="26" max="26" width="21.140625" style="158" bestFit="1" customWidth="1"/>
    <col min="27" max="27" width="17" style="158" bestFit="1" customWidth="1"/>
    <col min="28" max="28" width="18.42578125" style="158" bestFit="1" customWidth="1"/>
    <col min="29" max="29" width="19.28515625" style="158" bestFit="1" customWidth="1"/>
    <col min="30" max="35" width="11.7109375" style="158" customWidth="1"/>
    <col min="36" max="16384" width="9.140625" style="158"/>
  </cols>
  <sheetData>
    <row r="1" spans="1:35" s="116" customFormat="1" ht="38.25" customHeight="1">
      <c r="A1" s="1391" t="s">
        <v>63</v>
      </c>
      <c r="B1" s="1391"/>
      <c r="C1" s="1391"/>
      <c r="D1" s="1392" t="s">
        <v>382</v>
      </c>
      <c r="E1" s="1392"/>
      <c r="F1" s="1392"/>
      <c r="G1" s="1392"/>
      <c r="H1" s="1392"/>
      <c r="I1" s="1392"/>
      <c r="J1" s="1392"/>
      <c r="K1" s="1392"/>
      <c r="L1" s="1392"/>
      <c r="M1" s="1392"/>
      <c r="N1" s="1392"/>
      <c r="O1" s="1392"/>
      <c r="P1" s="1392"/>
      <c r="Q1" s="1392"/>
      <c r="R1" s="1392"/>
      <c r="S1" s="1392"/>
      <c r="T1" s="609"/>
      <c r="U1" s="594"/>
      <c r="V1" s="115"/>
      <c r="W1" s="115"/>
      <c r="Y1" s="117" t="s">
        <v>64</v>
      </c>
      <c r="Z1" s="117" t="s">
        <v>65</v>
      </c>
      <c r="AA1" s="117" t="s">
        <v>66</v>
      </c>
      <c r="AB1" s="117" t="s">
        <v>67</v>
      </c>
      <c r="AC1" s="117" t="s">
        <v>68</v>
      </c>
      <c r="AD1" s="117" t="s">
        <v>69</v>
      </c>
      <c r="AE1" s="117" t="s">
        <v>70</v>
      </c>
      <c r="AF1" s="117" t="s">
        <v>71</v>
      </c>
      <c r="AG1" s="117" t="s">
        <v>72</v>
      </c>
      <c r="AH1" s="117" t="s">
        <v>73</v>
      </c>
      <c r="AI1" s="117" t="s">
        <v>74</v>
      </c>
    </row>
    <row r="2" spans="1:35" s="116" customFormat="1" ht="3" customHeight="1">
      <c r="A2" s="1391"/>
      <c r="B2" s="1391"/>
      <c r="C2" s="1391"/>
      <c r="D2" s="126"/>
      <c r="E2" s="462"/>
      <c r="F2" s="118"/>
      <c r="G2" s="118"/>
      <c r="H2" s="118"/>
      <c r="I2" s="118"/>
      <c r="J2" s="118"/>
      <c r="K2" s="118"/>
      <c r="L2" s="581"/>
      <c r="M2" s="118"/>
      <c r="N2" s="350"/>
      <c r="O2" s="350"/>
      <c r="P2" s="350"/>
      <c r="Q2" s="350"/>
      <c r="R2" s="350"/>
      <c r="S2" s="350"/>
      <c r="T2" s="609"/>
      <c r="U2" s="594"/>
      <c r="V2" s="115"/>
      <c r="W2" s="115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5" s="116" customFormat="1" ht="12.75" hidden="1">
      <c r="A3" s="124"/>
      <c r="B3" s="822"/>
      <c r="C3" s="124"/>
      <c r="D3" s="350"/>
      <c r="E3" s="350"/>
      <c r="F3" s="350"/>
      <c r="G3" s="350"/>
      <c r="H3" s="350"/>
      <c r="I3" s="350"/>
      <c r="J3" s="350"/>
      <c r="K3" s="350"/>
      <c r="L3" s="582"/>
      <c r="M3" s="350"/>
      <c r="N3" s="350"/>
      <c r="O3" s="350"/>
      <c r="P3" s="350"/>
      <c r="Q3" s="350"/>
      <c r="R3" s="350"/>
      <c r="S3" s="350"/>
      <c r="T3" s="350"/>
      <c r="U3" s="594"/>
      <c r="V3" s="115"/>
      <c r="W3" s="115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</row>
    <row r="4" spans="1:35" s="131" customFormat="1" ht="15.75">
      <c r="A4" s="617"/>
      <c r="B4" s="823"/>
      <c r="C4" s="124"/>
      <c r="D4" s="602"/>
      <c r="E4" s="462" t="s">
        <v>75</v>
      </c>
      <c r="F4" s="462"/>
      <c r="G4" s="126"/>
      <c r="H4" s="126"/>
      <c r="I4" s="126"/>
      <c r="J4" s="126"/>
      <c r="K4" s="126"/>
      <c r="L4" s="583"/>
      <c r="M4" s="610" t="s">
        <v>76</v>
      </c>
      <c r="N4" s="611"/>
      <c r="O4" s="611"/>
      <c r="P4" s="602"/>
      <c r="Q4" s="602"/>
      <c r="R4" s="602"/>
      <c r="S4" s="602"/>
      <c r="T4" s="602"/>
      <c r="U4" s="612"/>
      <c r="V4" s="127"/>
      <c r="W4" s="127"/>
      <c r="X4" s="128" t="s">
        <v>77</v>
      </c>
      <c r="Y4" s="129">
        <v>5.72</v>
      </c>
      <c r="Z4" s="129">
        <v>6.15</v>
      </c>
      <c r="AA4" s="130">
        <v>7</v>
      </c>
      <c r="AB4" s="129">
        <v>6.79</v>
      </c>
      <c r="AC4" s="129">
        <v>6.57</v>
      </c>
      <c r="AD4" s="129">
        <v>8.98</v>
      </c>
      <c r="AE4" s="129">
        <v>7.61</v>
      </c>
      <c r="AF4" s="129">
        <v>8.93</v>
      </c>
      <c r="AG4" s="129">
        <v>8.8000000000000007</v>
      </c>
      <c r="AH4" s="129">
        <v>12.9</v>
      </c>
      <c r="AI4" s="129">
        <v>13.2</v>
      </c>
    </row>
    <row r="5" spans="1:35" s="137" customFormat="1" ht="2.25" customHeight="1">
      <c r="A5" s="124"/>
      <c r="B5" s="822"/>
      <c r="C5" s="124"/>
      <c r="D5" s="350"/>
      <c r="E5" s="350"/>
      <c r="F5" s="350"/>
      <c r="G5" s="350"/>
      <c r="H5" s="350"/>
      <c r="I5" s="350"/>
      <c r="J5" s="350"/>
      <c r="K5" s="350"/>
      <c r="L5" s="582"/>
      <c r="M5" s="350"/>
      <c r="N5" s="350"/>
      <c r="O5" s="350"/>
      <c r="P5" s="350"/>
      <c r="Q5" s="350"/>
      <c r="R5" s="350"/>
      <c r="S5" s="350"/>
      <c r="T5" s="350"/>
      <c r="U5" s="594"/>
      <c r="V5" s="135"/>
      <c r="W5" s="135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</row>
    <row r="6" spans="1:35" s="137" customFormat="1" ht="30.75" customHeight="1">
      <c r="A6" s="124"/>
      <c r="B6" s="822"/>
      <c r="C6" s="124"/>
      <c r="D6" s="126"/>
      <c r="E6" s="141" t="s">
        <v>383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350"/>
      <c r="T6" s="350"/>
      <c r="U6" s="594"/>
      <c r="V6" s="135"/>
      <c r="X6" s="128" t="s">
        <v>78</v>
      </c>
      <c r="Y6" s="138">
        <f t="shared" ref="Y6:AI6" si="0">1.02*1.05*(1+Y4/100)</f>
        <v>1.1322612000000001</v>
      </c>
      <c r="Z6" s="138">
        <f t="shared" si="0"/>
        <v>1.1368665000000002</v>
      </c>
      <c r="AA6" s="138">
        <f t="shared" si="0"/>
        <v>1.1459700000000002</v>
      </c>
      <c r="AB6" s="138">
        <f t="shared" si="0"/>
        <v>1.1437209000000004</v>
      </c>
      <c r="AC6" s="138">
        <f t="shared" si="0"/>
        <v>1.1413647000000002</v>
      </c>
      <c r="AD6" s="138">
        <f t="shared" si="0"/>
        <v>1.1671758000000003</v>
      </c>
      <c r="AE6" s="138">
        <f t="shared" si="0"/>
        <v>1.1525031000000003</v>
      </c>
      <c r="AF6" s="138">
        <f t="shared" si="0"/>
        <v>1.1666403000000001</v>
      </c>
      <c r="AG6" s="138">
        <f t="shared" si="0"/>
        <v>1.1652480000000003</v>
      </c>
      <c r="AH6" s="138">
        <f t="shared" si="0"/>
        <v>1.2091590000000001</v>
      </c>
      <c r="AI6" s="138">
        <f t="shared" si="0"/>
        <v>1.2123720000000002</v>
      </c>
    </row>
    <row r="7" spans="1:35" s="137" customFormat="1" ht="12" customHeight="1">
      <c r="A7" s="124"/>
      <c r="B7" s="822"/>
      <c r="C7" s="124"/>
      <c r="D7" s="350"/>
      <c r="E7" s="1393"/>
      <c r="F7" s="1393"/>
      <c r="G7" s="1393"/>
      <c r="H7" s="1393"/>
      <c r="I7" s="1393"/>
      <c r="J7" s="1393"/>
      <c r="K7" s="1393"/>
      <c r="L7" s="1393"/>
      <c r="M7" s="1393"/>
      <c r="N7" s="1393"/>
      <c r="O7" s="1393"/>
      <c r="P7" s="1393"/>
      <c r="Q7" s="1393"/>
      <c r="R7" s="1393"/>
      <c r="S7" s="350"/>
      <c r="T7" s="350"/>
      <c r="U7" s="594"/>
      <c r="V7" s="135"/>
    </row>
    <row r="8" spans="1:35" s="137" customFormat="1" ht="0.75" customHeight="1">
      <c r="A8" s="124"/>
      <c r="B8" s="822"/>
      <c r="C8" s="124"/>
      <c r="D8" s="603"/>
      <c r="E8" s="350"/>
      <c r="F8" s="350"/>
      <c r="G8" s="350"/>
      <c r="H8" s="350"/>
      <c r="I8" s="350"/>
      <c r="J8" s="350"/>
      <c r="K8" s="350"/>
      <c r="L8" s="582"/>
      <c r="M8" s="350"/>
      <c r="N8" s="350"/>
      <c r="O8" s="350"/>
      <c r="P8" s="350"/>
      <c r="Q8" s="350"/>
      <c r="R8" s="603"/>
      <c r="S8" s="350"/>
      <c r="T8" s="350"/>
      <c r="U8" s="594"/>
      <c r="V8" s="135"/>
    </row>
    <row r="9" spans="1:35" s="137" customFormat="1" ht="12.75">
      <c r="A9" s="1394" t="s">
        <v>79</v>
      </c>
      <c r="B9" s="1394"/>
      <c r="C9" s="124" t="s">
        <v>174</v>
      </c>
      <c r="D9" s="350"/>
      <c r="E9" s="350"/>
      <c r="F9" s="350"/>
      <c r="G9" s="350"/>
      <c r="H9" s="350"/>
      <c r="I9" s="350"/>
      <c r="J9" s="350"/>
      <c r="K9" s="350"/>
      <c r="L9" s="582"/>
      <c r="M9" s="350"/>
      <c r="N9" s="350"/>
      <c r="O9" s="126" t="s">
        <v>80</v>
      </c>
      <c r="P9" s="1395">
        <f>+T300</f>
        <v>6497.0794394498043</v>
      </c>
      <c r="Q9" s="1395"/>
      <c r="R9" s="1395"/>
      <c r="S9" s="350" t="s">
        <v>25</v>
      </c>
      <c r="T9" s="350"/>
      <c r="U9" s="594"/>
      <c r="V9" s="135"/>
    </row>
    <row r="10" spans="1:35" s="137" customFormat="1" ht="4.5" customHeight="1">
      <c r="A10" s="618"/>
      <c r="B10" s="824"/>
      <c r="C10" s="144"/>
      <c r="D10" s="604"/>
      <c r="E10" s="1396"/>
      <c r="F10" s="1396"/>
      <c r="G10" s="1396"/>
      <c r="H10" s="350"/>
      <c r="I10" s="350"/>
      <c r="J10" s="350"/>
      <c r="K10" s="350"/>
      <c r="L10" s="582"/>
      <c r="M10" s="350"/>
      <c r="N10" s="350"/>
      <c r="O10" s="126"/>
      <c r="P10" s="1395"/>
      <c r="Q10" s="1395"/>
      <c r="R10" s="1395"/>
      <c r="S10" s="350"/>
      <c r="T10" s="350"/>
      <c r="U10" s="594"/>
      <c r="V10" s="135"/>
    </row>
    <row r="11" spans="1:35" s="137" customFormat="1" ht="12.75">
      <c r="A11" s="619" t="s">
        <v>81</v>
      </c>
      <c r="B11" s="774"/>
      <c r="C11" s="148"/>
      <c r="D11" s="1400">
        <v>252984</v>
      </c>
      <c r="E11" s="1400"/>
      <c r="F11" s="1400"/>
      <c r="G11" s="229"/>
      <c r="H11" s="230"/>
      <c r="I11" s="230" t="s">
        <v>82</v>
      </c>
      <c r="J11" s="229"/>
      <c r="K11" s="229"/>
      <c r="L11" s="590" t="s">
        <v>83</v>
      </c>
      <c r="M11" s="228" t="s">
        <v>84</v>
      </c>
      <c r="N11" s="1401">
        <v>1.1525031000000003</v>
      </c>
      <c r="O11" s="1401"/>
      <c r="P11" s="1401"/>
      <c r="Q11" s="230"/>
      <c r="R11" s="228"/>
      <c r="S11" s="230"/>
      <c r="T11" s="230"/>
      <c r="U11" s="214"/>
      <c r="V11" s="151"/>
    </row>
    <row r="12" spans="1:35" s="137" customFormat="1" ht="7.5" customHeight="1">
      <c r="A12" s="619"/>
      <c r="B12" s="774"/>
      <c r="C12" s="152"/>
      <c r="D12" s="229"/>
      <c r="E12" s="228"/>
      <c r="F12" s="228"/>
      <c r="G12" s="229"/>
      <c r="H12" s="230"/>
      <c r="I12" s="230"/>
      <c r="J12" s="229"/>
      <c r="K12" s="229"/>
      <c r="L12" s="590"/>
      <c r="M12" s="230"/>
      <c r="N12" s="613"/>
      <c r="O12" s="230"/>
      <c r="P12" s="230"/>
      <c r="Q12" s="230"/>
      <c r="R12" s="228"/>
      <c r="S12" s="230"/>
      <c r="T12" s="230"/>
      <c r="U12" s="214"/>
      <c r="V12" s="151"/>
    </row>
    <row r="13" spans="1:35" s="137" customFormat="1" ht="14.25" customHeight="1" thickBot="1">
      <c r="A13" s="1402" t="s">
        <v>85</v>
      </c>
      <c r="B13" s="1403"/>
      <c r="C13" s="1403"/>
      <c r="D13" s="605"/>
      <c r="E13" s="1404" t="s">
        <v>86</v>
      </c>
      <c r="F13" s="1404"/>
      <c r="G13" s="1404"/>
      <c r="H13" s="1404"/>
      <c r="I13" s="1404"/>
      <c r="J13" s="1405">
        <v>2337</v>
      </c>
      <c r="K13" s="1405"/>
      <c r="L13" s="1405"/>
      <c r="M13" s="1404" t="s">
        <v>87</v>
      </c>
      <c r="N13" s="1404"/>
      <c r="O13" s="1404"/>
      <c r="P13" s="1404"/>
      <c r="Q13" s="1424">
        <v>3222.81</v>
      </c>
      <c r="R13" s="1425"/>
      <c r="S13" s="1425"/>
      <c r="T13" s="595"/>
      <c r="U13" s="596"/>
      <c r="V13" s="151"/>
    </row>
    <row r="14" spans="1:35" s="116" customFormat="1" ht="2.25" customHeight="1" thickTop="1" thickBot="1">
      <c r="A14" s="152"/>
      <c r="B14" s="825"/>
      <c r="C14" s="152"/>
      <c r="D14" s="350"/>
      <c r="E14" s="350"/>
      <c r="F14" s="350"/>
      <c r="G14" s="350"/>
      <c r="H14" s="350"/>
      <c r="I14" s="1409"/>
      <c r="J14" s="1409"/>
      <c r="K14" s="1409"/>
      <c r="L14" s="582"/>
      <c r="M14" s="350"/>
      <c r="N14" s="350"/>
      <c r="O14" s="350"/>
      <c r="P14" s="350"/>
      <c r="Q14" s="350"/>
      <c r="R14" s="603"/>
      <c r="S14" s="350"/>
      <c r="T14" s="230"/>
      <c r="U14" s="214">
        <f>+D11/35000*7.5</f>
        <v>54.210857142857144</v>
      </c>
      <c r="V14" s="182"/>
      <c r="X14" s="183"/>
      <c r="Y14" s="184"/>
      <c r="Z14" s="184"/>
      <c r="AA14" s="184"/>
      <c r="AB14" s="184"/>
      <c r="AC14" s="184"/>
      <c r="AD14" s="184"/>
      <c r="AE14" s="185"/>
    </row>
    <row r="15" spans="1:35" s="153" customFormat="1" ht="18" customHeight="1" thickTop="1">
      <c r="A15" s="1406" t="s">
        <v>88</v>
      </c>
      <c r="B15" s="1410" t="s">
        <v>89</v>
      </c>
      <c r="C15" s="1413" t="s">
        <v>90</v>
      </c>
      <c r="D15" s="1366" t="s">
        <v>91</v>
      </c>
      <c r="E15" s="1366" t="s">
        <v>92</v>
      </c>
      <c r="F15" s="1373" t="s">
        <v>93</v>
      </c>
      <c r="G15" s="1416"/>
      <c r="H15" s="1417"/>
      <c r="I15" s="1373" t="s">
        <v>94</v>
      </c>
      <c r="J15" s="1374"/>
      <c r="K15" s="1375"/>
      <c r="L15" s="1382" t="s">
        <v>95</v>
      </c>
      <c r="M15" s="1383"/>
      <c r="N15" s="1383"/>
      <c r="O15" s="1383"/>
      <c r="P15" s="1383"/>
      <c r="Q15" s="1384"/>
      <c r="R15" s="1366" t="s">
        <v>328</v>
      </c>
      <c r="S15" s="1366" t="s">
        <v>97</v>
      </c>
      <c r="T15" s="1369" t="s">
        <v>98</v>
      </c>
      <c r="U15" s="1364" t="s">
        <v>99</v>
      </c>
      <c r="V15" s="186"/>
      <c r="X15" s="187" t="s">
        <v>100</v>
      </c>
      <c r="Y15" s="188" t="s">
        <v>101</v>
      </c>
      <c r="Z15" s="188" t="s">
        <v>102</v>
      </c>
      <c r="AA15" s="188" t="s">
        <v>103</v>
      </c>
      <c r="AB15" s="188" t="s">
        <v>104</v>
      </c>
      <c r="AC15" s="188" t="s">
        <v>105</v>
      </c>
      <c r="AD15" s="188" t="s">
        <v>106</v>
      </c>
      <c r="AE15" s="189" t="s">
        <v>107</v>
      </c>
    </row>
    <row r="16" spans="1:35" s="153" customFormat="1" ht="22.5" customHeight="1" thickBot="1">
      <c r="A16" s="1407"/>
      <c r="B16" s="1411"/>
      <c r="C16" s="1414"/>
      <c r="D16" s="1367"/>
      <c r="E16" s="1367"/>
      <c r="F16" s="1418"/>
      <c r="G16" s="1419"/>
      <c r="H16" s="1420"/>
      <c r="I16" s="1376"/>
      <c r="J16" s="1377"/>
      <c r="K16" s="1378"/>
      <c r="L16" s="1385" t="s">
        <v>108</v>
      </c>
      <c r="M16" s="1372" t="s">
        <v>109</v>
      </c>
      <c r="N16" s="1372" t="s">
        <v>110</v>
      </c>
      <c r="O16" s="1372" t="s">
        <v>111</v>
      </c>
      <c r="P16" s="1372" t="s">
        <v>96</v>
      </c>
      <c r="Q16" s="1372" t="s">
        <v>112</v>
      </c>
      <c r="R16" s="1367"/>
      <c r="S16" s="1367"/>
      <c r="T16" s="1370"/>
      <c r="U16" s="1365"/>
      <c r="V16" s="190"/>
      <c r="X16" s="191">
        <v>10.8</v>
      </c>
      <c r="Y16" s="192">
        <v>17.3</v>
      </c>
      <c r="Z16" s="192">
        <f>69+9.7+2.5+0.3</f>
        <v>81.5</v>
      </c>
      <c r="AA16" s="192">
        <v>0</v>
      </c>
      <c r="AB16" s="192">
        <v>51</v>
      </c>
      <c r="AC16" s="192">
        <v>1.7</v>
      </c>
      <c r="AD16" s="192">
        <v>56.9</v>
      </c>
      <c r="AE16" s="193">
        <f>+X16+Y16+(Z16+AA16-AB16-AC16-AD16)</f>
        <v>0</v>
      </c>
    </row>
    <row r="17" spans="1:256" s="153" customFormat="1" ht="22.5" customHeight="1" thickTop="1" thickBot="1">
      <c r="A17" s="1407"/>
      <c r="B17" s="1411"/>
      <c r="C17" s="1414"/>
      <c r="D17" s="1367"/>
      <c r="E17" s="1367"/>
      <c r="F17" s="1418"/>
      <c r="G17" s="1419"/>
      <c r="H17" s="1420"/>
      <c r="I17" s="1376"/>
      <c r="J17" s="1377"/>
      <c r="K17" s="1378"/>
      <c r="L17" s="1386"/>
      <c r="M17" s="1367"/>
      <c r="N17" s="1367"/>
      <c r="O17" s="1367"/>
      <c r="P17" s="1367"/>
      <c r="Q17" s="1367"/>
      <c r="R17" s="1367"/>
      <c r="S17" s="1367"/>
      <c r="T17" s="1370"/>
      <c r="U17" s="1365"/>
      <c r="V17" s="190"/>
      <c r="W17" s="194"/>
      <c r="X17" s="195"/>
      <c r="Y17" s="196"/>
      <c r="Z17" s="196"/>
      <c r="AA17" s="196"/>
      <c r="AB17" s="196"/>
      <c r="AC17" s="196"/>
      <c r="AD17" s="196"/>
      <c r="AE17" s="197"/>
      <c r="AF17" s="137"/>
    </row>
    <row r="18" spans="1:256" s="153" customFormat="1" ht="22.5" customHeight="1" thickTop="1">
      <c r="A18" s="1407"/>
      <c r="B18" s="1411"/>
      <c r="C18" s="1414"/>
      <c r="D18" s="1367"/>
      <c r="E18" s="1367"/>
      <c r="F18" s="1418"/>
      <c r="G18" s="1419"/>
      <c r="H18" s="1420"/>
      <c r="I18" s="1376"/>
      <c r="J18" s="1377"/>
      <c r="K18" s="1378"/>
      <c r="L18" s="1386"/>
      <c r="M18" s="1367"/>
      <c r="N18" s="1367"/>
      <c r="O18" s="1367"/>
      <c r="P18" s="1367"/>
      <c r="Q18" s="1367"/>
      <c r="R18" s="1367"/>
      <c r="S18" s="1367"/>
      <c r="T18" s="1370"/>
      <c r="U18" s="1365"/>
      <c r="V18" s="198"/>
      <c r="X18" s="187" t="s">
        <v>113</v>
      </c>
      <c r="Y18" s="188" t="s">
        <v>114</v>
      </c>
      <c r="Z18" s="188" t="s">
        <v>115</v>
      </c>
      <c r="AA18" s="188" t="s">
        <v>113</v>
      </c>
      <c r="AB18" s="188" t="s">
        <v>114</v>
      </c>
      <c r="AC18" s="189" t="s">
        <v>115</v>
      </c>
      <c r="AD18" s="196"/>
      <c r="AE18" s="197"/>
      <c r="AF18" s="199"/>
      <c r="AG18" s="199"/>
    </row>
    <row r="19" spans="1:256" s="153" customFormat="1" ht="22.5" customHeight="1">
      <c r="A19" s="1408"/>
      <c r="B19" s="1412"/>
      <c r="C19" s="1415"/>
      <c r="D19" s="1368"/>
      <c r="E19" s="1368"/>
      <c r="F19" s="1421"/>
      <c r="G19" s="1422"/>
      <c r="H19" s="1423"/>
      <c r="I19" s="1379"/>
      <c r="J19" s="1380"/>
      <c r="K19" s="1381"/>
      <c r="L19" s="1387"/>
      <c r="M19" s="1368"/>
      <c r="N19" s="1368"/>
      <c r="O19" s="1368"/>
      <c r="P19" s="1368"/>
      <c r="Q19" s="1368"/>
      <c r="R19" s="1368"/>
      <c r="S19" s="1368"/>
      <c r="T19" s="1371"/>
      <c r="U19" s="1365"/>
      <c r="V19" s="198"/>
      <c r="X19" s="200">
        <v>273</v>
      </c>
      <c r="Y19" s="201">
        <v>1</v>
      </c>
      <c r="Z19" s="201">
        <f t="shared" ref="Z19:Z20" si="1">(+Y19*3.14*(X19/1000)^2)/4</f>
        <v>5.8505265000000015E-2</v>
      </c>
      <c r="AA19" s="201">
        <v>108</v>
      </c>
      <c r="AB19" s="201">
        <v>1</v>
      </c>
      <c r="AC19" s="202">
        <f>(+AB19*3.14*(AA19/1000)^2)/4</f>
        <v>9.1562399999999995E-3</v>
      </c>
      <c r="AD19" s="196"/>
      <c r="AE19" s="197"/>
      <c r="AF19" s="199"/>
      <c r="AG19" s="199"/>
    </row>
    <row r="20" spans="1:256" s="154" customFormat="1" ht="13.5" customHeight="1" thickBot="1">
      <c r="A20" s="620">
        <v>1</v>
      </c>
      <c r="B20" s="759">
        <v>2</v>
      </c>
      <c r="C20" s="204">
        <v>3</v>
      </c>
      <c r="D20" s="760">
        <v>4</v>
      </c>
      <c r="E20" s="204">
        <v>5</v>
      </c>
      <c r="F20" s="1388">
        <v>6</v>
      </c>
      <c r="G20" s="1389"/>
      <c r="H20" s="1390"/>
      <c r="I20" s="1388">
        <v>7</v>
      </c>
      <c r="J20" s="1398"/>
      <c r="K20" s="1399"/>
      <c r="L20" s="584">
        <v>8</v>
      </c>
      <c r="M20" s="204">
        <v>9</v>
      </c>
      <c r="N20" s="204">
        <v>10</v>
      </c>
      <c r="O20" s="204">
        <v>11</v>
      </c>
      <c r="P20" s="204">
        <v>12</v>
      </c>
      <c r="Q20" s="204">
        <v>13</v>
      </c>
      <c r="R20" s="759">
        <v>14</v>
      </c>
      <c r="S20" s="204">
        <v>15</v>
      </c>
      <c r="T20" s="204">
        <v>16</v>
      </c>
      <c r="U20" s="206">
        <v>17</v>
      </c>
      <c r="V20" s="207"/>
      <c r="X20" s="200">
        <v>219</v>
      </c>
      <c r="Y20" s="201">
        <v>1</v>
      </c>
      <c r="Z20" s="201">
        <f t="shared" si="1"/>
        <v>3.7649385E-2</v>
      </c>
      <c r="AA20" s="201">
        <v>89</v>
      </c>
      <c r="AB20" s="201">
        <v>1</v>
      </c>
      <c r="AC20" s="202">
        <f>(+AB20*3.14*(AA20/1000)^2)/4</f>
        <v>6.2179849999999997E-3</v>
      </c>
      <c r="AD20" s="196"/>
      <c r="AE20" s="197"/>
      <c r="AF20" s="155"/>
      <c r="AG20" s="155"/>
    </row>
    <row r="21" spans="1:256" s="578" customFormat="1" ht="16.5" customHeight="1" thickTop="1" thickBot="1">
      <c r="A21" s="659"/>
      <c r="B21" s="826"/>
      <c r="C21" s="616" t="s">
        <v>384</v>
      </c>
      <c r="D21" s="629"/>
      <c r="E21" s="629"/>
      <c r="F21" s="630"/>
      <c r="G21" s="606"/>
      <c r="H21" s="606"/>
      <c r="I21" s="606"/>
      <c r="J21" s="606"/>
      <c r="K21" s="606"/>
      <c r="L21" s="591"/>
      <c r="M21" s="606"/>
      <c r="N21" s="606"/>
      <c r="O21" s="606"/>
      <c r="P21" s="606"/>
      <c r="Q21" s="606"/>
      <c r="R21" s="606"/>
      <c r="S21" s="606"/>
      <c r="T21" s="606"/>
      <c r="U21" s="606"/>
      <c r="V21" s="616" t="s">
        <v>329</v>
      </c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  <c r="AO21" s="573"/>
      <c r="AP21" s="573"/>
      <c r="AQ21" s="573"/>
      <c r="AR21" s="573"/>
      <c r="AS21" s="573"/>
      <c r="AT21" s="573"/>
      <c r="AU21" s="573"/>
      <c r="AV21" s="573"/>
      <c r="AW21" s="573"/>
      <c r="AX21" s="573"/>
      <c r="AY21" s="573"/>
      <c r="AZ21" s="573"/>
      <c r="BA21" s="573"/>
      <c r="BB21" s="573"/>
      <c r="BC21" s="573"/>
      <c r="BD21" s="573"/>
      <c r="BE21" s="573"/>
      <c r="BF21" s="573"/>
      <c r="BG21" s="573"/>
      <c r="BH21" s="573"/>
      <c r="BI21" s="573"/>
      <c r="BJ21" s="573"/>
      <c r="BK21" s="573"/>
      <c r="BL21" s="573"/>
      <c r="BM21" s="573"/>
      <c r="BN21" s="573"/>
      <c r="BO21" s="573"/>
      <c r="BP21" s="573"/>
      <c r="BQ21" s="573"/>
      <c r="BR21" s="573"/>
      <c r="BS21" s="573"/>
      <c r="BT21" s="573"/>
      <c r="BU21" s="573"/>
      <c r="BV21" s="573"/>
      <c r="BW21" s="573"/>
      <c r="BX21" s="573"/>
      <c r="BY21" s="573"/>
      <c r="BZ21" s="573"/>
      <c r="CA21" s="573"/>
      <c r="CB21" s="573"/>
      <c r="CC21" s="573"/>
      <c r="CD21" s="573"/>
      <c r="CE21" s="573"/>
      <c r="CF21" s="573"/>
      <c r="CG21" s="573"/>
      <c r="CH21" s="573"/>
      <c r="CI21" s="573"/>
      <c r="CJ21" s="573"/>
      <c r="CK21" s="573"/>
      <c r="CL21" s="573"/>
      <c r="CM21" s="573"/>
      <c r="CN21" s="573"/>
      <c r="CO21" s="573"/>
      <c r="CP21" s="573"/>
      <c r="CQ21" s="573"/>
      <c r="CR21" s="573"/>
      <c r="CS21" s="573"/>
      <c r="CT21" s="573"/>
      <c r="CU21" s="573"/>
      <c r="CV21" s="573"/>
      <c r="CW21" s="573"/>
      <c r="CX21" s="573"/>
      <c r="CY21" s="573"/>
      <c r="CZ21" s="573"/>
      <c r="DA21" s="573"/>
      <c r="DB21" s="573"/>
      <c r="DC21" s="573"/>
      <c r="DD21" s="573"/>
      <c r="DE21" s="573"/>
      <c r="DF21" s="573"/>
      <c r="DG21" s="573"/>
      <c r="DH21" s="573"/>
      <c r="DI21" s="573"/>
      <c r="DJ21" s="573"/>
      <c r="DK21" s="573"/>
      <c r="DL21" s="573"/>
      <c r="DM21" s="573"/>
      <c r="DN21" s="573"/>
      <c r="DO21" s="573"/>
      <c r="DP21" s="573"/>
      <c r="DQ21" s="573"/>
      <c r="DR21" s="573"/>
      <c r="DS21" s="573"/>
      <c r="DT21" s="573"/>
      <c r="DU21" s="573"/>
      <c r="DV21" s="573"/>
      <c r="DW21" s="573"/>
      <c r="DX21" s="573"/>
      <c r="DY21" s="573"/>
      <c r="DZ21" s="573"/>
      <c r="EA21" s="573"/>
      <c r="EB21" s="573"/>
      <c r="EC21" s="573"/>
      <c r="ED21" s="573"/>
      <c r="EE21" s="573"/>
      <c r="EF21" s="573"/>
      <c r="EG21" s="573"/>
      <c r="EH21" s="573"/>
      <c r="EI21" s="573"/>
      <c r="EJ21" s="573"/>
      <c r="EK21" s="573"/>
      <c r="EL21" s="573"/>
      <c r="EM21" s="573"/>
      <c r="EN21" s="573"/>
      <c r="EO21" s="573"/>
      <c r="EP21" s="573"/>
      <c r="EQ21" s="573"/>
      <c r="ER21" s="573"/>
      <c r="ES21" s="573"/>
      <c r="ET21" s="573"/>
      <c r="EU21" s="573"/>
      <c r="EV21" s="573"/>
      <c r="EW21" s="573"/>
      <c r="EX21" s="573"/>
      <c r="EY21" s="573"/>
      <c r="EZ21" s="573"/>
      <c r="FA21" s="573"/>
      <c r="FB21" s="573"/>
      <c r="FC21" s="573"/>
      <c r="FD21" s="573"/>
      <c r="FE21" s="573"/>
      <c r="FF21" s="573"/>
      <c r="FG21" s="573"/>
      <c r="FH21" s="573"/>
      <c r="FI21" s="573"/>
      <c r="FJ21" s="573"/>
      <c r="FK21" s="573"/>
      <c r="FL21" s="573"/>
      <c r="FM21" s="573"/>
      <c r="FN21" s="573"/>
      <c r="FO21" s="573"/>
      <c r="FP21" s="573"/>
      <c r="FQ21" s="573"/>
      <c r="FR21" s="573"/>
      <c r="FS21" s="573"/>
      <c r="FT21" s="573"/>
      <c r="FU21" s="573"/>
      <c r="FV21" s="573"/>
      <c r="FW21" s="573"/>
      <c r="FX21" s="573"/>
      <c r="FY21" s="573"/>
      <c r="FZ21" s="573"/>
      <c r="GA21" s="573"/>
      <c r="GB21" s="573"/>
      <c r="GC21" s="573"/>
      <c r="GD21" s="573"/>
      <c r="GE21" s="573"/>
      <c r="GF21" s="573"/>
      <c r="GG21" s="573"/>
      <c r="GH21" s="573"/>
      <c r="GI21" s="573"/>
      <c r="GJ21" s="573"/>
      <c r="GK21" s="573"/>
      <c r="GL21" s="573"/>
      <c r="GM21" s="573"/>
      <c r="GN21" s="573"/>
      <c r="GO21" s="573"/>
      <c r="GP21" s="573"/>
      <c r="GQ21" s="573"/>
      <c r="GR21" s="573"/>
      <c r="GS21" s="573"/>
      <c r="GT21" s="573"/>
      <c r="GU21" s="573"/>
      <c r="GV21" s="573"/>
      <c r="GW21" s="573"/>
      <c r="GX21" s="573"/>
      <c r="GY21" s="573"/>
      <c r="GZ21" s="573"/>
      <c r="HA21" s="573"/>
      <c r="HB21" s="573"/>
      <c r="HC21" s="573"/>
      <c r="HD21" s="573"/>
      <c r="HE21" s="573"/>
      <c r="HF21" s="573"/>
      <c r="HG21" s="573"/>
      <c r="HH21" s="573"/>
      <c r="HI21" s="573"/>
      <c r="HJ21" s="573"/>
      <c r="HK21" s="573"/>
      <c r="HL21" s="573"/>
      <c r="HM21" s="573"/>
      <c r="HN21" s="573"/>
      <c r="HO21" s="573"/>
      <c r="HP21" s="573"/>
      <c r="HQ21" s="573"/>
      <c r="HR21" s="573"/>
      <c r="HS21" s="573"/>
      <c r="HT21" s="573"/>
      <c r="HU21" s="573"/>
      <c r="HV21" s="573"/>
      <c r="HW21" s="573"/>
      <c r="HX21" s="573"/>
      <c r="HY21" s="573"/>
      <c r="HZ21" s="573"/>
      <c r="IA21" s="573"/>
      <c r="IB21" s="573"/>
      <c r="IC21" s="573"/>
      <c r="ID21" s="573"/>
      <c r="IE21" s="573"/>
      <c r="IF21" s="573"/>
      <c r="IG21" s="573"/>
      <c r="IH21" s="573"/>
      <c r="II21" s="573"/>
      <c r="IJ21" s="573"/>
      <c r="IK21" s="573"/>
      <c r="IL21" s="573"/>
      <c r="IM21" s="573"/>
      <c r="IN21" s="573"/>
      <c r="IO21" s="573"/>
      <c r="IP21" s="573"/>
      <c r="IQ21" s="573"/>
      <c r="IR21" s="573"/>
      <c r="IS21" s="573"/>
      <c r="IT21" s="573"/>
      <c r="IU21" s="573"/>
      <c r="IV21" s="573"/>
    </row>
    <row r="22" spans="1:256" s="564" customFormat="1" ht="15.75" thickTop="1">
      <c r="A22" s="634"/>
      <c r="B22" s="580"/>
      <c r="C22" s="570" t="s">
        <v>331</v>
      </c>
      <c r="D22" s="580"/>
      <c r="E22" s="580"/>
      <c r="F22" s="571"/>
      <c r="G22" s="571"/>
      <c r="H22" s="571"/>
      <c r="I22" s="571"/>
      <c r="J22" s="571"/>
      <c r="K22" s="571"/>
      <c r="L22" s="572"/>
      <c r="M22" s="579"/>
      <c r="N22" s="579"/>
      <c r="O22" s="579"/>
      <c r="P22" s="579"/>
      <c r="Q22" s="597"/>
      <c r="R22" s="607"/>
      <c r="S22" s="607"/>
      <c r="T22" s="614"/>
      <c r="U22" s="607"/>
      <c r="V22" s="570" t="s">
        <v>331</v>
      </c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  <c r="BG22" s="563"/>
      <c r="BH22" s="563"/>
      <c r="BI22" s="563"/>
      <c r="BJ22" s="563"/>
      <c r="BK22" s="563"/>
      <c r="BL22" s="563"/>
      <c r="BM22" s="563"/>
      <c r="BN22" s="563"/>
      <c r="BO22" s="563"/>
      <c r="BP22" s="563"/>
      <c r="BQ22" s="563"/>
      <c r="BR22" s="563"/>
      <c r="BS22" s="563"/>
      <c r="BT22" s="563"/>
      <c r="BU22" s="563"/>
      <c r="BV22" s="563"/>
      <c r="BW22" s="563"/>
      <c r="BX22" s="563"/>
      <c r="BY22" s="563"/>
      <c r="BZ22" s="563"/>
      <c r="CA22" s="563"/>
      <c r="CB22" s="563"/>
      <c r="CC22" s="563"/>
      <c r="CD22" s="563"/>
      <c r="CE22" s="563"/>
      <c r="CF22" s="563"/>
      <c r="CG22" s="563"/>
      <c r="CH22" s="563"/>
      <c r="CI22" s="563"/>
      <c r="CJ22" s="563"/>
      <c r="CK22" s="563"/>
      <c r="CL22" s="563"/>
      <c r="CM22" s="563"/>
      <c r="CN22" s="563"/>
      <c r="CO22" s="563"/>
      <c r="CP22" s="563"/>
      <c r="CQ22" s="563"/>
      <c r="CR22" s="563"/>
      <c r="CS22" s="563"/>
      <c r="CT22" s="563"/>
      <c r="CU22" s="563"/>
      <c r="CV22" s="563"/>
      <c r="CW22" s="563"/>
      <c r="CX22" s="563"/>
      <c r="CY22" s="563"/>
      <c r="CZ22" s="563"/>
      <c r="DA22" s="563"/>
      <c r="DB22" s="563"/>
      <c r="DC22" s="563"/>
      <c r="DD22" s="563"/>
      <c r="DE22" s="563"/>
      <c r="DF22" s="563"/>
      <c r="DG22" s="563"/>
      <c r="DH22" s="563"/>
      <c r="DI22" s="563"/>
      <c r="DJ22" s="563"/>
      <c r="DK22" s="563"/>
      <c r="DL22" s="563"/>
      <c r="DM22" s="563"/>
      <c r="DN22" s="563"/>
      <c r="DO22" s="563"/>
      <c r="DP22" s="563"/>
      <c r="DQ22" s="563"/>
      <c r="DR22" s="563"/>
      <c r="DS22" s="563"/>
      <c r="DT22" s="563"/>
      <c r="DU22" s="563"/>
      <c r="DV22" s="563"/>
      <c r="DW22" s="563"/>
      <c r="DX22" s="563"/>
      <c r="DY22" s="563"/>
      <c r="DZ22" s="563"/>
      <c r="EA22" s="563"/>
      <c r="EB22" s="563"/>
      <c r="EC22" s="563"/>
      <c r="ED22" s="563"/>
      <c r="EE22" s="563"/>
      <c r="EF22" s="563"/>
      <c r="EG22" s="563"/>
      <c r="EH22" s="563"/>
      <c r="EI22" s="563"/>
      <c r="EJ22" s="563"/>
      <c r="EK22" s="563"/>
      <c r="EL22" s="563"/>
      <c r="EM22" s="563"/>
      <c r="EN22" s="563"/>
      <c r="EO22" s="563"/>
      <c r="EP22" s="563"/>
      <c r="EQ22" s="563"/>
      <c r="ER22" s="563"/>
      <c r="ES22" s="563"/>
      <c r="ET22" s="563"/>
      <c r="EU22" s="563"/>
      <c r="EV22" s="563"/>
      <c r="EW22" s="563"/>
      <c r="EX22" s="563"/>
      <c r="EY22" s="563"/>
      <c r="EZ22" s="563"/>
      <c r="FA22" s="563"/>
      <c r="FB22" s="563"/>
      <c r="FC22" s="563"/>
      <c r="FD22" s="563"/>
      <c r="FE22" s="563"/>
      <c r="FF22" s="563"/>
      <c r="FG22" s="563"/>
      <c r="FH22" s="563"/>
      <c r="FI22" s="563"/>
      <c r="FJ22" s="563"/>
      <c r="FK22" s="563"/>
      <c r="FL22" s="563"/>
      <c r="FM22" s="563"/>
      <c r="FN22" s="563"/>
      <c r="FO22" s="563"/>
      <c r="FP22" s="563"/>
      <c r="FQ22" s="563"/>
      <c r="FR22" s="563"/>
      <c r="FS22" s="563"/>
      <c r="FT22" s="563"/>
      <c r="FU22" s="563"/>
      <c r="FV22" s="563"/>
      <c r="FW22" s="563"/>
      <c r="FX22" s="563"/>
      <c r="FY22" s="563"/>
      <c r="FZ22" s="563"/>
      <c r="GA22" s="563"/>
      <c r="GB22" s="563"/>
      <c r="GC22" s="563"/>
      <c r="GD22" s="563"/>
      <c r="GE22" s="563"/>
      <c r="GF22" s="563"/>
      <c r="GG22" s="563"/>
      <c r="GH22" s="563"/>
      <c r="GI22" s="563"/>
      <c r="GJ22" s="563"/>
      <c r="GK22" s="563"/>
      <c r="GL22" s="563"/>
      <c r="GM22" s="563"/>
      <c r="GN22" s="563"/>
      <c r="GO22" s="563"/>
      <c r="GP22" s="563"/>
      <c r="GQ22" s="563"/>
      <c r="GR22" s="563"/>
      <c r="GS22" s="563"/>
      <c r="GT22" s="563"/>
      <c r="GU22" s="563"/>
      <c r="GV22" s="563"/>
      <c r="GW22" s="563"/>
      <c r="GX22" s="563"/>
      <c r="GY22" s="563"/>
      <c r="GZ22" s="563"/>
      <c r="HA22" s="563"/>
      <c r="HB22" s="563"/>
      <c r="HC22" s="563"/>
      <c r="HD22" s="563"/>
      <c r="HE22" s="563"/>
      <c r="HF22" s="563"/>
      <c r="HG22" s="563"/>
      <c r="HH22" s="563"/>
      <c r="HI22" s="563"/>
      <c r="HJ22" s="563"/>
      <c r="HK22" s="563"/>
      <c r="HL22" s="563"/>
      <c r="HM22" s="563"/>
      <c r="HN22" s="563"/>
      <c r="HO22" s="563"/>
      <c r="HP22" s="563"/>
      <c r="HQ22" s="563"/>
      <c r="HR22" s="563"/>
      <c r="HS22" s="563"/>
      <c r="HT22" s="563"/>
    </row>
    <row r="23" spans="1:256" s="481" customFormat="1" ht="12.75" customHeight="1">
      <c r="A23" s="1095">
        <f>+A21+1</f>
        <v>1</v>
      </c>
      <c r="B23" s="1097" t="s">
        <v>327</v>
      </c>
      <c r="C23" s="1108" t="s">
        <v>337</v>
      </c>
      <c r="D23" s="1101" t="s">
        <v>180</v>
      </c>
      <c r="E23" s="1101">
        <v>9</v>
      </c>
      <c r="F23" s="1052">
        <f>0.001*10.6</f>
        <v>1.06E-2</v>
      </c>
      <c r="G23" s="1052"/>
      <c r="H23" s="1052"/>
      <c r="I23" s="1052">
        <f>0.001*224.4</f>
        <v>0.22440000000000002</v>
      </c>
      <c r="J23" s="1052"/>
      <c r="K23" s="1052"/>
      <c r="L23" s="387"/>
      <c r="M23" s="661"/>
      <c r="N23" s="661"/>
      <c r="O23" s="661"/>
      <c r="P23" s="662"/>
      <c r="Q23" s="389"/>
      <c r="R23" s="1044">
        <f>F24+I24</f>
        <v>0.74797076400000007</v>
      </c>
      <c r="S23" s="1044">
        <f>R23+R24</f>
        <v>0.74797076400000007</v>
      </c>
      <c r="T23" s="1044">
        <f>E23*S23</f>
        <v>6.7317368760000003</v>
      </c>
      <c r="U23" s="1105"/>
      <c r="V23" s="1093" t="s">
        <v>285</v>
      </c>
      <c r="W23" s="1050" t="s">
        <v>201</v>
      </c>
      <c r="X23" s="242"/>
      <c r="Y23" s="242"/>
      <c r="Z23" s="242"/>
      <c r="AA23" s="242"/>
      <c r="AB23" s="242"/>
      <c r="AC23" s="242"/>
      <c r="AD23" s="242"/>
      <c r="AE23" s="242"/>
    </row>
    <row r="24" spans="1:256" s="481" customFormat="1" ht="12.75" customHeight="1">
      <c r="A24" s="1096"/>
      <c r="B24" s="1098"/>
      <c r="C24" s="1109"/>
      <c r="D24" s="1102"/>
      <c r="E24" s="1103"/>
      <c r="F24" s="1052">
        <f>F23*$J$13/1000</f>
        <v>2.4772200000000001E-2</v>
      </c>
      <c r="G24" s="1052"/>
      <c r="H24" s="1052"/>
      <c r="I24" s="1052">
        <f>I23*$Q$13/1000</f>
        <v>0.72319856400000004</v>
      </c>
      <c r="J24" s="1052"/>
      <c r="K24" s="1052"/>
      <c r="L24" s="390"/>
      <c r="M24" s="509"/>
      <c r="N24" s="509"/>
      <c r="O24" s="509"/>
      <c r="P24" s="391"/>
      <c r="Q24" s="392"/>
      <c r="R24" s="1104"/>
      <c r="S24" s="1045"/>
      <c r="T24" s="1045"/>
      <c r="U24" s="1106"/>
      <c r="V24" s="1094"/>
      <c r="W24" s="1051"/>
      <c r="X24" s="242"/>
      <c r="Y24" s="242"/>
      <c r="Z24" s="242"/>
      <c r="AA24" s="242"/>
      <c r="AB24" s="242"/>
      <c r="AC24" s="242"/>
      <c r="AD24" s="242"/>
      <c r="AE24" s="242"/>
    </row>
    <row r="25" spans="1:256" s="481" customFormat="1" ht="12.75" customHeight="1">
      <c r="A25" s="1095">
        <f>+A23+1</f>
        <v>2</v>
      </c>
      <c r="B25" s="1097" t="s">
        <v>343</v>
      </c>
      <c r="C25" s="1099" t="s">
        <v>385</v>
      </c>
      <c r="D25" s="1101" t="s">
        <v>180</v>
      </c>
      <c r="E25" s="1101">
        <v>24</v>
      </c>
      <c r="F25" s="1052">
        <f>0.001*16.8</f>
        <v>1.6800000000000002E-2</v>
      </c>
      <c r="G25" s="1052"/>
      <c r="H25" s="1052"/>
      <c r="I25" s="1052">
        <f>0.001*355.2</f>
        <v>0.35520000000000002</v>
      </c>
      <c r="J25" s="1052"/>
      <c r="K25" s="1052"/>
      <c r="L25" s="387"/>
      <c r="M25" s="661"/>
      <c r="N25" s="661"/>
      <c r="O25" s="661"/>
      <c r="P25" s="662"/>
      <c r="Q25" s="389"/>
      <c r="R25" s="1044">
        <f>F26+I26</f>
        <v>1.184003712</v>
      </c>
      <c r="S25" s="1044">
        <f>R25+R26</f>
        <v>1.184003712</v>
      </c>
      <c r="T25" s="1044">
        <f>E25*S25</f>
        <v>28.416089088</v>
      </c>
      <c r="U25" s="1105"/>
      <c r="V25" s="1093" t="s">
        <v>386</v>
      </c>
      <c r="W25" s="1050" t="s">
        <v>201</v>
      </c>
      <c r="X25" s="242"/>
      <c r="Y25" s="242"/>
      <c r="Z25" s="242"/>
      <c r="AA25" s="242"/>
      <c r="AB25" s="242"/>
      <c r="AC25" s="242"/>
      <c r="AD25" s="242"/>
      <c r="AE25" s="242"/>
    </row>
    <row r="26" spans="1:256" s="481" customFormat="1" ht="12.75" customHeight="1">
      <c r="A26" s="1096"/>
      <c r="B26" s="1098"/>
      <c r="C26" s="1100"/>
      <c r="D26" s="1102"/>
      <c r="E26" s="1103"/>
      <c r="F26" s="1052">
        <f>F25*$J$13/1000</f>
        <v>3.9261600000000008E-2</v>
      </c>
      <c r="G26" s="1052"/>
      <c r="H26" s="1052"/>
      <c r="I26" s="1052">
        <f>I25*$Q$13/1000</f>
        <v>1.1447421120000001</v>
      </c>
      <c r="J26" s="1052"/>
      <c r="K26" s="1052"/>
      <c r="L26" s="390"/>
      <c r="M26" s="509"/>
      <c r="N26" s="509"/>
      <c r="O26" s="509"/>
      <c r="P26" s="391"/>
      <c r="Q26" s="392"/>
      <c r="R26" s="1104"/>
      <c r="S26" s="1045"/>
      <c r="T26" s="1045"/>
      <c r="U26" s="1106"/>
      <c r="V26" s="1094"/>
      <c r="W26" s="1051"/>
      <c r="X26" s="242"/>
      <c r="Y26" s="242"/>
      <c r="Z26" s="242"/>
      <c r="AA26" s="242"/>
      <c r="AB26" s="242"/>
      <c r="AC26" s="242"/>
      <c r="AD26" s="242"/>
      <c r="AE26" s="242"/>
    </row>
    <row r="27" spans="1:256" s="420" customFormat="1" ht="12.75" customHeight="1">
      <c r="A27" s="1095">
        <f>+A25+1</f>
        <v>3</v>
      </c>
      <c r="B27" s="1097" t="s">
        <v>332</v>
      </c>
      <c r="C27" s="1108" t="s">
        <v>342</v>
      </c>
      <c r="D27" s="1101" t="s">
        <v>180</v>
      </c>
      <c r="E27" s="1101">
        <v>33</v>
      </c>
      <c r="F27" s="1052"/>
      <c r="G27" s="1052"/>
      <c r="H27" s="1052"/>
      <c r="I27" s="1052">
        <f>0.001*25</f>
        <v>2.5000000000000001E-2</v>
      </c>
      <c r="J27" s="1052"/>
      <c r="K27" s="1052"/>
      <c r="L27" s="387"/>
      <c r="M27" s="668"/>
      <c r="N27" s="669"/>
      <c r="O27" s="669"/>
      <c r="P27" s="662"/>
      <c r="Q27" s="397"/>
      <c r="R27" s="1044">
        <f>F28+I28</f>
        <v>8.0570249999999996E-2</v>
      </c>
      <c r="S27" s="1044">
        <f>R27+R28</f>
        <v>8.0570249999999996E-2</v>
      </c>
      <c r="T27" s="1044">
        <f>E27*S27</f>
        <v>2.6588182499999999</v>
      </c>
      <c r="U27" s="1046"/>
      <c r="V27" s="1048" t="s">
        <v>341</v>
      </c>
      <c r="W27" s="1050" t="s">
        <v>201</v>
      </c>
      <c r="X27" s="242"/>
      <c r="Y27" s="242"/>
      <c r="Z27" s="242"/>
      <c r="AA27" s="242"/>
      <c r="AB27" s="242"/>
      <c r="AC27" s="242"/>
      <c r="AD27" s="242"/>
      <c r="AE27" s="242"/>
    </row>
    <row r="28" spans="1:256" s="420" customFormat="1" ht="12.75" customHeight="1" thickBot="1">
      <c r="A28" s="1107"/>
      <c r="B28" s="1098"/>
      <c r="C28" s="1109"/>
      <c r="D28" s="1102"/>
      <c r="E28" s="1102"/>
      <c r="F28" s="1052"/>
      <c r="G28" s="1052"/>
      <c r="H28" s="1052"/>
      <c r="I28" s="1052">
        <f>I27*$Q$13/1000</f>
        <v>8.0570249999999996E-2</v>
      </c>
      <c r="J28" s="1052"/>
      <c r="K28" s="1052"/>
      <c r="L28" s="390"/>
      <c r="M28" s="401"/>
      <c r="N28" s="402"/>
      <c r="O28" s="402"/>
      <c r="P28" s="391"/>
      <c r="Q28" s="403"/>
      <c r="R28" s="1045"/>
      <c r="S28" s="1045"/>
      <c r="T28" s="1045"/>
      <c r="U28" s="1047"/>
      <c r="V28" s="1049"/>
      <c r="W28" s="1051"/>
      <c r="X28" s="242"/>
      <c r="Y28" s="242"/>
      <c r="Z28" s="242"/>
      <c r="AA28" s="242"/>
      <c r="AB28" s="242"/>
      <c r="AC28" s="242"/>
      <c r="AD28" s="242"/>
      <c r="AE28" s="242"/>
    </row>
    <row r="29" spans="1:256" s="564" customFormat="1" ht="19.5" customHeight="1" thickTop="1">
      <c r="B29" s="771"/>
      <c r="C29" s="663" t="s">
        <v>387</v>
      </c>
      <c r="D29" s="664"/>
      <c r="E29" s="664"/>
      <c r="F29" s="778"/>
      <c r="G29" s="665"/>
      <c r="H29" s="665"/>
      <c r="I29" s="665"/>
      <c r="J29" s="665"/>
      <c r="K29" s="899"/>
      <c r="L29" s="900"/>
      <c r="M29" s="899"/>
      <c r="N29" s="899"/>
      <c r="O29" s="899"/>
      <c r="P29" s="899"/>
      <c r="Q29" s="899"/>
      <c r="R29" s="899"/>
      <c r="S29" s="899"/>
      <c r="T29" s="901"/>
      <c r="U29" s="902"/>
      <c r="V29" s="776" t="s">
        <v>387</v>
      </c>
      <c r="W29" s="777"/>
      <c r="X29" s="665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  <c r="BG29" s="563"/>
      <c r="BH29" s="563"/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563"/>
      <c r="CF29" s="563"/>
      <c r="CG29" s="563"/>
      <c r="CH29" s="563"/>
      <c r="CI29" s="563"/>
      <c r="CJ29" s="563"/>
      <c r="CK29" s="563"/>
      <c r="CL29" s="563"/>
      <c r="CM29" s="563"/>
      <c r="CN29" s="563"/>
      <c r="CO29" s="563"/>
      <c r="CP29" s="563"/>
      <c r="CQ29" s="563"/>
      <c r="CR29" s="563"/>
      <c r="CS29" s="563"/>
      <c r="CT29" s="563"/>
      <c r="CU29" s="563"/>
      <c r="CV29" s="563"/>
      <c r="CW29" s="563"/>
      <c r="CX29" s="563"/>
      <c r="CY29" s="563"/>
      <c r="CZ29" s="563"/>
      <c r="DA29" s="563"/>
      <c r="DB29" s="563"/>
      <c r="DC29" s="563"/>
      <c r="DD29" s="563"/>
      <c r="DE29" s="563"/>
      <c r="DF29" s="563"/>
      <c r="DG29" s="563"/>
      <c r="DH29" s="563"/>
      <c r="DI29" s="563"/>
      <c r="DJ29" s="563"/>
      <c r="DK29" s="563"/>
      <c r="DL29" s="563"/>
      <c r="DM29" s="563"/>
      <c r="DN29" s="563"/>
      <c r="DO29" s="563"/>
      <c r="DP29" s="563"/>
      <c r="DQ29" s="563"/>
      <c r="DR29" s="563"/>
      <c r="DS29" s="563"/>
      <c r="DT29" s="563"/>
      <c r="DU29" s="563"/>
      <c r="DV29" s="563"/>
      <c r="DW29" s="563"/>
      <c r="DX29" s="563"/>
      <c r="DY29" s="563"/>
      <c r="DZ29" s="563"/>
      <c r="EA29" s="563"/>
      <c r="EB29" s="563"/>
      <c r="EC29" s="563"/>
      <c r="ED29" s="563"/>
      <c r="EE29" s="563"/>
      <c r="EF29" s="563"/>
      <c r="EG29" s="563"/>
      <c r="EH29" s="563"/>
      <c r="EI29" s="563"/>
      <c r="EJ29" s="563"/>
      <c r="EK29" s="563"/>
      <c r="EL29" s="563"/>
      <c r="EM29" s="563"/>
      <c r="EN29" s="563"/>
      <c r="EO29" s="563"/>
      <c r="EP29" s="563"/>
      <c r="EQ29" s="563"/>
      <c r="ER29" s="563"/>
      <c r="ES29" s="563"/>
      <c r="ET29" s="563"/>
      <c r="EU29" s="563"/>
      <c r="EV29" s="563"/>
      <c r="EW29" s="563"/>
      <c r="EX29" s="563"/>
      <c r="EY29" s="563"/>
      <c r="EZ29" s="563"/>
      <c r="FA29" s="563"/>
      <c r="FB29" s="563"/>
      <c r="FC29" s="563"/>
      <c r="FD29" s="563"/>
      <c r="FE29" s="563"/>
      <c r="FF29" s="563"/>
      <c r="FG29" s="563"/>
      <c r="FH29" s="563"/>
      <c r="FI29" s="563"/>
      <c r="FJ29" s="563"/>
      <c r="FK29" s="563"/>
      <c r="FL29" s="563"/>
      <c r="FM29" s="563"/>
      <c r="FN29" s="563"/>
      <c r="FO29" s="563"/>
      <c r="FP29" s="563"/>
      <c r="FQ29" s="563"/>
      <c r="FR29" s="563"/>
      <c r="FS29" s="563"/>
      <c r="FT29" s="563"/>
      <c r="FU29" s="563"/>
      <c r="FV29" s="563"/>
      <c r="FW29" s="563"/>
      <c r="FX29" s="563"/>
      <c r="FY29" s="563"/>
      <c r="FZ29" s="563"/>
      <c r="GA29" s="563"/>
      <c r="GB29" s="563"/>
      <c r="GC29" s="563"/>
      <c r="GD29" s="563"/>
      <c r="GE29" s="563"/>
      <c r="GF29" s="563"/>
      <c r="GG29" s="563"/>
      <c r="GH29" s="563"/>
      <c r="GI29" s="563"/>
      <c r="GJ29" s="563"/>
      <c r="GK29" s="563"/>
      <c r="GL29" s="563"/>
      <c r="GM29" s="563"/>
      <c r="GN29" s="563"/>
      <c r="GO29" s="563"/>
      <c r="GP29" s="563"/>
      <c r="GQ29" s="563"/>
      <c r="GR29" s="563"/>
      <c r="GS29" s="563"/>
      <c r="GT29" s="563"/>
      <c r="GU29" s="563"/>
      <c r="GV29" s="563"/>
      <c r="GW29" s="563"/>
      <c r="GX29" s="563"/>
      <c r="GY29" s="563"/>
      <c r="GZ29" s="563"/>
      <c r="HA29" s="563"/>
      <c r="HB29" s="563"/>
      <c r="HC29" s="563"/>
      <c r="HD29" s="563"/>
      <c r="HE29" s="563"/>
      <c r="HF29" s="563"/>
      <c r="HG29" s="563"/>
      <c r="HH29" s="563"/>
      <c r="HI29" s="563"/>
      <c r="HJ29" s="563"/>
      <c r="HK29" s="563"/>
      <c r="HL29" s="563"/>
      <c r="HM29" s="563"/>
      <c r="HN29" s="563"/>
      <c r="HO29" s="563"/>
      <c r="HP29" s="563"/>
      <c r="HQ29" s="563"/>
      <c r="HR29" s="563"/>
      <c r="HS29" s="563"/>
      <c r="HT29" s="563"/>
      <c r="HU29" s="563"/>
      <c r="HV29" s="563"/>
      <c r="HW29" s="563"/>
      <c r="HX29" s="563"/>
      <c r="HY29" s="563"/>
      <c r="HZ29" s="563"/>
      <c r="IA29" s="563"/>
      <c r="IB29" s="563"/>
      <c r="IC29" s="563"/>
      <c r="ID29" s="563"/>
      <c r="IE29" s="563"/>
      <c r="IF29" s="563"/>
      <c r="IG29" s="563"/>
      <c r="IH29" s="563"/>
      <c r="II29" s="563"/>
      <c r="IJ29" s="563"/>
      <c r="IK29" s="563"/>
      <c r="IL29" s="563"/>
      <c r="IM29" s="563"/>
      <c r="IN29" s="563"/>
      <c r="IO29" s="563"/>
      <c r="IP29" s="563"/>
      <c r="IQ29" s="563"/>
      <c r="IR29" s="563"/>
      <c r="IS29" s="563"/>
      <c r="IT29" s="563"/>
      <c r="IU29" s="563"/>
      <c r="IV29" s="563"/>
    </row>
    <row r="30" spans="1:256" s="730" customFormat="1" ht="27" customHeight="1">
      <c r="A30" s="1005">
        <f>+A27+1</f>
        <v>4</v>
      </c>
      <c r="B30" s="1008" t="s">
        <v>388</v>
      </c>
      <c r="C30" s="1011" t="s">
        <v>390</v>
      </c>
      <c r="D30" s="1014" t="s">
        <v>180</v>
      </c>
      <c r="E30" s="1027">
        <v>1.07</v>
      </c>
      <c r="F30" s="1027">
        <v>0.7</v>
      </c>
      <c r="G30" s="1029"/>
      <c r="H30" s="1029"/>
      <c r="I30" s="1027">
        <v>0.28000000000000003</v>
      </c>
      <c r="J30" s="1029"/>
      <c r="K30" s="1030"/>
      <c r="L30" s="864"/>
      <c r="M30" s="728"/>
      <c r="N30" s="370"/>
      <c r="O30" s="754"/>
      <c r="P30" s="577"/>
      <c r="Q30" s="753"/>
      <c r="R30" s="750">
        <f>F31+I31</f>
        <v>2.5382867999999998</v>
      </c>
      <c r="S30" s="988">
        <f>R30+R31</f>
        <v>31.535656647054012</v>
      </c>
      <c r="T30" s="988">
        <f>E30*S30</f>
        <v>33.743152612347792</v>
      </c>
      <c r="U30" s="1031">
        <f>R31*E30</f>
        <v>31.027185736347793</v>
      </c>
      <c r="V30" s="1011" t="s">
        <v>390</v>
      </c>
      <c r="W30" s="1014" t="s">
        <v>180</v>
      </c>
      <c r="X30" s="729"/>
      <c r="Y30" s="865"/>
      <c r="Z30" s="865"/>
      <c r="AA30" s="865"/>
      <c r="AB30" s="729"/>
      <c r="AC30" s="729"/>
      <c r="AD30" s="729"/>
      <c r="AE30" s="729"/>
    </row>
    <row r="31" spans="1:256" s="730" customFormat="1" ht="22.5" customHeight="1">
      <c r="A31" s="1024"/>
      <c r="B31" s="1025"/>
      <c r="C31" s="1026"/>
      <c r="D31" s="1016"/>
      <c r="E31" s="1028"/>
      <c r="F31" s="1027">
        <f>F30*$J$13/1000</f>
        <v>1.6358999999999999</v>
      </c>
      <c r="G31" s="1029"/>
      <c r="H31" s="1029"/>
      <c r="I31" s="1027">
        <f>I30*$Q$13/1000</f>
        <v>0.90238680000000016</v>
      </c>
      <c r="J31" s="1029"/>
      <c r="K31" s="1029"/>
      <c r="L31" s="743" t="s">
        <v>356</v>
      </c>
      <c r="M31" s="250" t="s">
        <v>180</v>
      </c>
      <c r="N31" s="265">
        <v>1.02</v>
      </c>
      <c r="O31" s="265">
        <f>E30*N31</f>
        <v>1.0914000000000001</v>
      </c>
      <c r="P31" s="236">
        <v>24.667000000000002</v>
      </c>
      <c r="Q31" s="233">
        <f>N31*P31*$N$11</f>
        <v>28.99736984705401</v>
      </c>
      <c r="R31" s="757">
        <f>SUM(Q31:Q31)</f>
        <v>28.99736984705401</v>
      </c>
      <c r="S31" s="1025"/>
      <c r="T31" s="1025"/>
      <c r="U31" s="1032"/>
      <c r="V31" s="1026"/>
      <c r="W31" s="1016"/>
      <c r="X31" s="729"/>
      <c r="Y31" s="865"/>
      <c r="Z31" s="865"/>
      <c r="AA31" s="865"/>
      <c r="AB31" s="729"/>
      <c r="AC31" s="729"/>
      <c r="AD31" s="729"/>
      <c r="AE31" s="729"/>
    </row>
    <row r="32" spans="1:256" s="405" customFormat="1" ht="12.75" customHeight="1">
      <c r="A32" s="1005">
        <f>+A30+1</f>
        <v>5</v>
      </c>
      <c r="B32" s="1008" t="s">
        <v>344</v>
      </c>
      <c r="C32" s="1011" t="s">
        <v>396</v>
      </c>
      <c r="D32" s="1014" t="s">
        <v>180</v>
      </c>
      <c r="E32" s="987">
        <v>1.63</v>
      </c>
      <c r="F32" s="990">
        <v>1</v>
      </c>
      <c r="G32" s="991"/>
      <c r="H32" s="992"/>
      <c r="I32" s="993">
        <v>0.77</v>
      </c>
      <c r="J32" s="994"/>
      <c r="K32" s="995"/>
      <c r="L32" s="635"/>
      <c r="M32" s="638"/>
      <c r="N32" s="404"/>
      <c r="O32" s="756"/>
      <c r="P32" s="756"/>
      <c r="Q32" s="749"/>
      <c r="R32" s="755">
        <f>F33+I33</f>
        <v>4.8185637000000003</v>
      </c>
      <c r="S32" s="987">
        <f>R32+R33</f>
        <v>69.54698254634161</v>
      </c>
      <c r="T32" s="987">
        <f>E32*S32</f>
        <v>113.36158155053681</v>
      </c>
      <c r="U32" s="1017">
        <f t="shared" ref="U32" si="2">E32*R33</f>
        <v>105.50732271953682</v>
      </c>
      <c r="V32" s="1011" t="s">
        <v>391</v>
      </c>
      <c r="W32" s="1014" t="s">
        <v>180</v>
      </c>
    </row>
    <row r="33" spans="1:37" s="405" customFormat="1" ht="12">
      <c r="A33" s="1006"/>
      <c r="B33" s="1009"/>
      <c r="C33" s="1012"/>
      <c r="D33" s="1015"/>
      <c r="E33" s="988"/>
      <c r="F33" s="1020">
        <f>F32*J$13/1000</f>
        <v>2.3370000000000002</v>
      </c>
      <c r="G33" s="1020"/>
      <c r="H33" s="1020"/>
      <c r="I33" s="1020">
        <f>I32*$Q$13/1000</f>
        <v>2.4815637000000001</v>
      </c>
      <c r="J33" s="1020"/>
      <c r="K33" s="1020"/>
      <c r="L33" s="249" t="s">
        <v>394</v>
      </c>
      <c r="M33" s="250" t="s">
        <v>184</v>
      </c>
      <c r="N33" s="406">
        <v>1.0149999999999999</v>
      </c>
      <c r="O33" s="252">
        <f>E32*N33</f>
        <v>1.6544499999999998</v>
      </c>
      <c r="P33" s="236">
        <v>55</v>
      </c>
      <c r="Q33" s="253">
        <f>N33*P33*$N$11</f>
        <v>64.338485557500007</v>
      </c>
      <c r="R33" s="987">
        <f>SUM(Q33:Q35)</f>
        <v>64.728418846341611</v>
      </c>
      <c r="S33" s="988"/>
      <c r="T33" s="988"/>
      <c r="U33" s="1018"/>
      <c r="V33" s="1012"/>
      <c r="W33" s="1015"/>
    </row>
    <row r="34" spans="1:37" s="405" customFormat="1" ht="12">
      <c r="A34" s="1006"/>
      <c r="B34" s="1009"/>
      <c r="C34" s="1012"/>
      <c r="D34" s="1015"/>
      <c r="E34" s="988"/>
      <c r="F34" s="1020"/>
      <c r="G34" s="1020"/>
      <c r="H34" s="1020"/>
      <c r="I34" s="1020"/>
      <c r="J34" s="1020"/>
      <c r="K34" s="1020"/>
      <c r="L34" s="450" t="s">
        <v>185</v>
      </c>
      <c r="M34" s="260" t="s">
        <v>186</v>
      </c>
      <c r="N34" s="407">
        <v>7.0000000000000007E-2</v>
      </c>
      <c r="O34" s="261">
        <f>E32*N34</f>
        <v>0.11410000000000001</v>
      </c>
      <c r="P34" s="237">
        <v>3.5</v>
      </c>
      <c r="Q34" s="412">
        <f>N34*P34*$N$11</f>
        <v>0.28236325950000013</v>
      </c>
      <c r="R34" s="988"/>
      <c r="S34" s="988"/>
      <c r="T34" s="988"/>
      <c r="U34" s="1018"/>
      <c r="V34" s="1012"/>
      <c r="W34" s="1015"/>
    </row>
    <row r="35" spans="1:37" s="405" customFormat="1" ht="13.5" customHeight="1">
      <c r="A35" s="1007"/>
      <c r="B35" s="1010"/>
      <c r="C35" s="1013"/>
      <c r="D35" s="1016"/>
      <c r="E35" s="989"/>
      <c r="F35" s="1020"/>
      <c r="G35" s="1020"/>
      <c r="H35" s="1020"/>
      <c r="I35" s="1020"/>
      <c r="J35" s="1020"/>
      <c r="K35" s="1020"/>
      <c r="L35" s="263" t="s">
        <v>187</v>
      </c>
      <c r="M35" s="254" t="s">
        <v>184</v>
      </c>
      <c r="N35" s="408">
        <v>8.0000000000000004E-4</v>
      </c>
      <c r="O35" s="256">
        <f>E32*N35</f>
        <v>1.304E-3</v>
      </c>
      <c r="P35" s="411">
        <v>116.67</v>
      </c>
      <c r="Q35" s="258">
        <f>N35*P35*$N$11</f>
        <v>0.10757002934160004</v>
      </c>
      <c r="R35" s="989"/>
      <c r="S35" s="989"/>
      <c r="T35" s="989"/>
      <c r="U35" s="1019"/>
      <c r="V35" s="1013"/>
      <c r="W35" s="1016"/>
    </row>
    <row r="36" spans="1:37" s="694" customFormat="1" ht="12.75" customHeight="1">
      <c r="A36" s="1000">
        <f>+A32+1</f>
        <v>6</v>
      </c>
      <c r="B36" s="1001" t="s">
        <v>191</v>
      </c>
      <c r="C36" s="965" t="s">
        <v>392</v>
      </c>
      <c r="D36" s="966" t="s">
        <v>326</v>
      </c>
      <c r="E36" s="1003">
        <v>8.5000000000000006E-2</v>
      </c>
      <c r="F36" s="967"/>
      <c r="G36" s="967"/>
      <c r="H36" s="967"/>
      <c r="I36" s="1004"/>
      <c r="J36" s="1004"/>
      <c r="K36" s="1004"/>
      <c r="L36" s="673"/>
      <c r="M36" s="674"/>
      <c r="N36" s="675"/>
      <c r="O36" s="676"/>
      <c r="P36" s="676"/>
      <c r="Q36" s="677"/>
      <c r="R36" s="767">
        <f>F37+I37</f>
        <v>0</v>
      </c>
      <c r="S36" s="999">
        <f>R36+R37</f>
        <v>409.7793922236001</v>
      </c>
      <c r="T36" s="999">
        <f>E36*S36</f>
        <v>34.831248339006009</v>
      </c>
      <c r="U36" s="964">
        <f>R37*E36</f>
        <v>34.831248339006009</v>
      </c>
      <c r="V36" s="965" t="s">
        <v>392</v>
      </c>
      <c r="W36" s="966" t="s">
        <v>326</v>
      </c>
      <c r="X36" s="692">
        <f>+W33*X33</f>
        <v>0</v>
      </c>
      <c r="Y36" s="693"/>
      <c r="Z36" s="693"/>
      <c r="AA36" s="693"/>
      <c r="AB36" s="693"/>
      <c r="AC36" s="693"/>
      <c r="AD36" s="693"/>
      <c r="AE36" s="693"/>
      <c r="AF36" s="693"/>
      <c r="AG36" s="693"/>
      <c r="AH36" s="693"/>
      <c r="AI36" s="693"/>
      <c r="AJ36" s="693"/>
      <c r="AK36" s="693"/>
    </row>
    <row r="37" spans="1:37" s="694" customFormat="1" ht="12.75" customHeight="1">
      <c r="A37" s="1000"/>
      <c r="B37" s="1002"/>
      <c r="C37" s="965"/>
      <c r="D37" s="966"/>
      <c r="E37" s="1003"/>
      <c r="F37" s="967"/>
      <c r="G37" s="967"/>
      <c r="H37" s="967"/>
      <c r="I37" s="967"/>
      <c r="J37" s="967"/>
      <c r="K37" s="967"/>
      <c r="L37" s="682" t="s">
        <v>392</v>
      </c>
      <c r="M37" s="683" t="s">
        <v>326</v>
      </c>
      <c r="N37" s="684">
        <v>1</v>
      </c>
      <c r="O37" s="685">
        <f>E36*N37</f>
        <v>8.5000000000000006E-2</v>
      </c>
      <c r="P37" s="686">
        <v>355.55599999999998</v>
      </c>
      <c r="Q37" s="687">
        <f>N37*P37*$N$11</f>
        <v>409.7793922236001</v>
      </c>
      <c r="R37" s="767">
        <f>SUM(Q37:Q37)</f>
        <v>409.7793922236001</v>
      </c>
      <c r="S37" s="999"/>
      <c r="T37" s="999"/>
      <c r="U37" s="964"/>
      <c r="V37" s="965"/>
      <c r="W37" s="966"/>
      <c r="X37" s="692"/>
      <c r="Y37" s="693"/>
      <c r="Z37" s="693"/>
      <c r="AA37" s="693"/>
      <c r="AB37" s="693"/>
      <c r="AC37" s="693"/>
      <c r="AD37" s="693"/>
      <c r="AE37" s="693"/>
      <c r="AF37" s="693"/>
      <c r="AG37" s="693"/>
      <c r="AH37" s="693"/>
      <c r="AI37" s="693"/>
      <c r="AJ37" s="693"/>
      <c r="AK37" s="693"/>
    </row>
    <row r="38" spans="1:37" s="694" customFormat="1" ht="12.75" customHeight="1">
      <c r="A38" s="1000">
        <f>+A32+1</f>
        <v>6</v>
      </c>
      <c r="B38" s="1001" t="s">
        <v>191</v>
      </c>
      <c r="C38" s="965" t="s">
        <v>393</v>
      </c>
      <c r="D38" s="966" t="s">
        <v>326</v>
      </c>
      <c r="E38" s="1003">
        <v>4.0000000000000001E-3</v>
      </c>
      <c r="F38" s="967"/>
      <c r="G38" s="967"/>
      <c r="H38" s="967"/>
      <c r="I38" s="1004"/>
      <c r="J38" s="1004"/>
      <c r="K38" s="1004"/>
      <c r="L38" s="673"/>
      <c r="M38" s="674"/>
      <c r="N38" s="675"/>
      <c r="O38" s="676"/>
      <c r="P38" s="676"/>
      <c r="Q38" s="677"/>
      <c r="R38" s="767">
        <f>F39+I39</f>
        <v>0</v>
      </c>
      <c r="S38" s="999">
        <f>R38+R39</f>
        <v>352.95407437500012</v>
      </c>
      <c r="T38" s="999">
        <f>E38*S38</f>
        <v>1.4118162975000006</v>
      </c>
      <c r="U38" s="964">
        <f>R39*E38</f>
        <v>1.4118162975000006</v>
      </c>
      <c r="V38" s="965" t="s">
        <v>393</v>
      </c>
      <c r="W38" s="966" t="s">
        <v>326</v>
      </c>
      <c r="X38" s="692">
        <f>+W31*X31</f>
        <v>0</v>
      </c>
      <c r="Y38" s="693"/>
      <c r="Z38" s="693"/>
      <c r="AA38" s="693"/>
      <c r="AB38" s="693"/>
      <c r="AC38" s="693"/>
      <c r="AD38" s="693"/>
      <c r="AE38" s="693"/>
      <c r="AF38" s="693"/>
      <c r="AG38" s="693"/>
      <c r="AH38" s="693"/>
      <c r="AI38" s="693"/>
      <c r="AJ38" s="693"/>
      <c r="AK38" s="693"/>
    </row>
    <row r="39" spans="1:37" s="694" customFormat="1" ht="12.75" customHeight="1">
      <c r="A39" s="1000"/>
      <c r="B39" s="1002"/>
      <c r="C39" s="965"/>
      <c r="D39" s="966"/>
      <c r="E39" s="1003"/>
      <c r="F39" s="967"/>
      <c r="G39" s="967"/>
      <c r="H39" s="967"/>
      <c r="I39" s="967"/>
      <c r="J39" s="967"/>
      <c r="K39" s="967"/>
      <c r="L39" s="682" t="s">
        <v>393</v>
      </c>
      <c r="M39" s="683" t="s">
        <v>326</v>
      </c>
      <c r="N39" s="684">
        <v>1</v>
      </c>
      <c r="O39" s="685">
        <f>E38*N39</f>
        <v>4.0000000000000001E-3</v>
      </c>
      <c r="P39" s="686">
        <v>306.25</v>
      </c>
      <c r="Q39" s="687">
        <f>N39*P39*$N$11</f>
        <v>352.95407437500012</v>
      </c>
      <c r="R39" s="767">
        <f>SUM(Q39:Q39)</f>
        <v>352.95407437500012</v>
      </c>
      <c r="S39" s="999"/>
      <c r="T39" s="999"/>
      <c r="U39" s="964"/>
      <c r="V39" s="965"/>
      <c r="W39" s="966"/>
      <c r="X39" s="692"/>
      <c r="Y39" s="693"/>
      <c r="Z39" s="693"/>
      <c r="AA39" s="693"/>
      <c r="AB39" s="693"/>
      <c r="AC39" s="693"/>
      <c r="AD39" s="693"/>
      <c r="AE39" s="693"/>
      <c r="AF39" s="693"/>
      <c r="AG39" s="693"/>
      <c r="AH39" s="693"/>
      <c r="AI39" s="693"/>
      <c r="AJ39" s="693"/>
      <c r="AK39" s="693"/>
    </row>
    <row r="40" spans="1:37" s="470" customFormat="1" ht="12">
      <c r="A40" s="1005">
        <f>+A38+1</f>
        <v>7</v>
      </c>
      <c r="B40" s="1008" t="s">
        <v>395</v>
      </c>
      <c r="C40" s="1011" t="s">
        <v>400</v>
      </c>
      <c r="D40" s="1014" t="s">
        <v>180</v>
      </c>
      <c r="E40" s="987">
        <v>5.32</v>
      </c>
      <c r="F40" s="990">
        <v>7.63</v>
      </c>
      <c r="G40" s="991"/>
      <c r="H40" s="992"/>
      <c r="I40" s="993">
        <v>1.43</v>
      </c>
      <c r="J40" s="994"/>
      <c r="K40" s="995"/>
      <c r="L40" s="660"/>
      <c r="M40" s="638"/>
      <c r="N40" s="756"/>
      <c r="O40" s="756"/>
      <c r="P40" s="756"/>
      <c r="Q40" s="749"/>
      <c r="R40" s="755">
        <f>F41+I41</f>
        <v>22.439928300000002</v>
      </c>
      <c r="S40" s="987">
        <f>R40+R41</f>
        <v>113.57364993126004</v>
      </c>
      <c r="T40" s="987">
        <f>E40*S40</f>
        <v>604.21181763430343</v>
      </c>
      <c r="U40" s="1017">
        <f t="shared" ref="U40" si="3">E40*R41</f>
        <v>484.83139907830338</v>
      </c>
      <c r="V40" s="1011" t="s">
        <v>397</v>
      </c>
      <c r="W40" s="1014" t="s">
        <v>180</v>
      </c>
      <c r="X40" s="405"/>
      <c r="Y40" s="405"/>
      <c r="Z40" s="405"/>
      <c r="AA40" s="405"/>
      <c r="AB40" s="405"/>
      <c r="AC40" s="405"/>
      <c r="AD40" s="405"/>
      <c r="AE40" s="405"/>
    </row>
    <row r="41" spans="1:37" s="470" customFormat="1" ht="12">
      <c r="A41" s="1006"/>
      <c r="B41" s="1009"/>
      <c r="C41" s="1012"/>
      <c r="D41" s="1015"/>
      <c r="E41" s="988"/>
      <c r="F41" s="1020">
        <f>F40*J$13/1000</f>
        <v>17.831310000000002</v>
      </c>
      <c r="G41" s="1020"/>
      <c r="H41" s="1020"/>
      <c r="I41" s="1020">
        <f>I40*$Q$13/1000</f>
        <v>4.6086182999999998</v>
      </c>
      <c r="J41" s="1020"/>
      <c r="K41" s="1020"/>
      <c r="L41" s="249" t="s">
        <v>394</v>
      </c>
      <c r="M41" s="250" t="s">
        <v>184</v>
      </c>
      <c r="N41" s="252">
        <v>1</v>
      </c>
      <c r="O41" s="252">
        <f>E40*N41</f>
        <v>5.32</v>
      </c>
      <c r="P41" s="236">
        <v>55</v>
      </c>
      <c r="Q41" s="253">
        <f>N41*P41*$N$11</f>
        <v>63.38767050000002</v>
      </c>
      <c r="R41" s="987">
        <f>SUM(Q41:Q45)</f>
        <v>91.13372163126003</v>
      </c>
      <c r="S41" s="988"/>
      <c r="T41" s="988"/>
      <c r="U41" s="1018"/>
      <c r="V41" s="1012"/>
      <c r="W41" s="1015"/>
      <c r="X41" s="405"/>
      <c r="Y41" s="405"/>
      <c r="Z41" s="405"/>
      <c r="AA41" s="405"/>
      <c r="AB41" s="405"/>
      <c r="AC41" s="405"/>
      <c r="AD41" s="405"/>
      <c r="AE41" s="405"/>
    </row>
    <row r="42" spans="1:37" s="470" customFormat="1" ht="12">
      <c r="A42" s="1006"/>
      <c r="B42" s="1009"/>
      <c r="C42" s="1012"/>
      <c r="D42" s="1015"/>
      <c r="E42" s="988"/>
      <c r="F42" s="1020"/>
      <c r="G42" s="1020"/>
      <c r="H42" s="1020"/>
      <c r="I42" s="1020"/>
      <c r="J42" s="1020"/>
      <c r="K42" s="1020"/>
      <c r="L42" s="450" t="s">
        <v>185</v>
      </c>
      <c r="M42" s="260" t="s">
        <v>186</v>
      </c>
      <c r="N42" s="261">
        <v>2.64</v>
      </c>
      <c r="O42" s="261">
        <f>E40*N42</f>
        <v>14.044800000000002</v>
      </c>
      <c r="P42" s="237">
        <v>3.5</v>
      </c>
      <c r="Q42" s="412">
        <f>N42*P42*$N$11</f>
        <v>10.649128644000003</v>
      </c>
      <c r="R42" s="988"/>
      <c r="S42" s="988"/>
      <c r="T42" s="988"/>
      <c r="U42" s="1018"/>
      <c r="V42" s="1012"/>
      <c r="W42" s="1015"/>
      <c r="X42" s="405"/>
      <c r="Y42" s="405"/>
      <c r="Z42" s="405"/>
      <c r="AA42" s="405"/>
      <c r="AB42" s="405"/>
      <c r="AC42" s="405"/>
      <c r="AD42" s="405"/>
      <c r="AE42" s="405"/>
    </row>
    <row r="43" spans="1:37" s="470" customFormat="1" ht="13.5" customHeight="1">
      <c r="A43" s="1006"/>
      <c r="B43" s="1009"/>
      <c r="C43" s="1012"/>
      <c r="D43" s="1015"/>
      <c r="E43" s="988"/>
      <c r="F43" s="1020"/>
      <c r="G43" s="1020"/>
      <c r="H43" s="1020"/>
      <c r="I43" s="1020"/>
      <c r="J43" s="1020"/>
      <c r="K43" s="1020"/>
      <c r="L43" s="450" t="s">
        <v>187</v>
      </c>
      <c r="M43" s="260" t="s">
        <v>184</v>
      </c>
      <c r="N43" s="261">
        <v>0.06</v>
      </c>
      <c r="O43" s="261">
        <f>E40*N43</f>
        <v>0.31919999999999998</v>
      </c>
      <c r="P43" s="237">
        <v>116.67</v>
      </c>
      <c r="Q43" s="412">
        <f>N43*P43*$N$11</f>
        <v>8.0677522006200011</v>
      </c>
      <c r="R43" s="988"/>
      <c r="S43" s="988"/>
      <c r="T43" s="988"/>
      <c r="U43" s="1018"/>
      <c r="V43" s="1012"/>
      <c r="W43" s="1015"/>
      <c r="X43" s="405"/>
      <c r="Y43" s="405"/>
      <c r="Z43" s="405"/>
      <c r="AA43" s="405"/>
      <c r="AB43" s="405"/>
      <c r="AC43" s="405"/>
      <c r="AD43" s="405"/>
      <c r="AE43" s="405"/>
    </row>
    <row r="44" spans="1:37" s="470" customFormat="1" ht="13.5" customHeight="1">
      <c r="A44" s="1006"/>
      <c r="B44" s="1009"/>
      <c r="C44" s="1012"/>
      <c r="D44" s="1015"/>
      <c r="E44" s="988"/>
      <c r="F44" s="1020"/>
      <c r="G44" s="1020"/>
      <c r="H44" s="1020"/>
      <c r="I44" s="1020"/>
      <c r="J44" s="1020"/>
      <c r="K44" s="1020"/>
      <c r="L44" s="263" t="s">
        <v>349</v>
      </c>
      <c r="M44" s="254" t="s">
        <v>124</v>
      </c>
      <c r="N44" s="257">
        <v>3.2</v>
      </c>
      <c r="O44" s="257">
        <f>E40*N44</f>
        <v>17.024000000000001</v>
      </c>
      <c r="P44" s="411">
        <v>1.167</v>
      </c>
      <c r="Q44" s="258">
        <f>N44*P44*$N$11</f>
        <v>4.3039075766400021</v>
      </c>
      <c r="R44" s="988"/>
      <c r="S44" s="988"/>
      <c r="T44" s="988"/>
      <c r="U44" s="1018"/>
      <c r="V44" s="1012"/>
      <c r="W44" s="1015"/>
      <c r="X44" s="405"/>
      <c r="Y44" s="405"/>
      <c r="Z44" s="405"/>
      <c r="AA44" s="405"/>
      <c r="AB44" s="405"/>
      <c r="AC44" s="405"/>
      <c r="AD44" s="405"/>
      <c r="AE44" s="405"/>
    </row>
    <row r="45" spans="1:37" s="470" customFormat="1" ht="13.5" customHeight="1">
      <c r="A45" s="1007"/>
      <c r="B45" s="1010"/>
      <c r="C45" s="1013"/>
      <c r="D45" s="1016"/>
      <c r="E45" s="989"/>
      <c r="F45" s="1020"/>
      <c r="G45" s="1020"/>
      <c r="H45" s="1020"/>
      <c r="I45" s="1020"/>
      <c r="J45" s="1020"/>
      <c r="K45" s="1020"/>
      <c r="L45" s="866" t="s">
        <v>190</v>
      </c>
      <c r="M45" s="254" t="s">
        <v>124</v>
      </c>
      <c r="N45" s="256">
        <v>4.0999999999999996</v>
      </c>
      <c r="O45" s="256">
        <f>E40*N45</f>
        <v>21.811999999999998</v>
      </c>
      <c r="P45" s="411">
        <v>1</v>
      </c>
      <c r="Q45" s="258">
        <f>N45*P45*$N$11</f>
        <v>4.7252627100000009</v>
      </c>
      <c r="R45" s="989"/>
      <c r="S45" s="989"/>
      <c r="T45" s="989"/>
      <c r="U45" s="1019"/>
      <c r="V45" s="1013"/>
      <c r="W45" s="1016"/>
      <c r="X45" s="405"/>
      <c r="Y45" s="405"/>
      <c r="Z45" s="405"/>
      <c r="AA45" s="405"/>
      <c r="AB45" s="405"/>
      <c r="AC45" s="405"/>
      <c r="AD45" s="405"/>
      <c r="AE45" s="405"/>
    </row>
    <row r="46" spans="1:37" s="694" customFormat="1" ht="12.75" customHeight="1">
      <c r="A46" s="1000">
        <f>+A40+1</f>
        <v>8</v>
      </c>
      <c r="B46" s="1001" t="s">
        <v>191</v>
      </c>
      <c r="C46" s="965" t="s">
        <v>398</v>
      </c>
      <c r="D46" s="966" t="s">
        <v>326</v>
      </c>
      <c r="E46" s="1003">
        <v>0.39200000000000002</v>
      </c>
      <c r="F46" s="967"/>
      <c r="G46" s="967"/>
      <c r="H46" s="967"/>
      <c r="I46" s="1004"/>
      <c r="J46" s="1004"/>
      <c r="K46" s="1004"/>
      <c r="L46" s="673"/>
      <c r="M46" s="674"/>
      <c r="N46" s="675"/>
      <c r="O46" s="676"/>
      <c r="P46" s="676"/>
      <c r="Q46" s="677"/>
      <c r="R46" s="767">
        <f>F47+I47</f>
        <v>0</v>
      </c>
      <c r="S46" s="999">
        <f>R46+R47</f>
        <v>372.1628435427001</v>
      </c>
      <c r="T46" s="999">
        <f>E46*S46</f>
        <v>145.88783466873844</v>
      </c>
      <c r="U46" s="964">
        <f>R47*E46</f>
        <v>145.88783466873844</v>
      </c>
      <c r="V46" s="965" t="s">
        <v>398</v>
      </c>
      <c r="W46" s="966" t="s">
        <v>326</v>
      </c>
      <c r="X46" s="692">
        <f>+W41*X41</f>
        <v>0</v>
      </c>
      <c r="Y46" s="693"/>
      <c r="Z46" s="693"/>
      <c r="AA46" s="693"/>
      <c r="AB46" s="693"/>
      <c r="AC46" s="693"/>
      <c r="AD46" s="693"/>
      <c r="AE46" s="693"/>
      <c r="AF46" s="693"/>
      <c r="AG46" s="693"/>
      <c r="AH46" s="693"/>
      <c r="AI46" s="693"/>
      <c r="AJ46" s="693"/>
      <c r="AK46" s="693"/>
    </row>
    <row r="47" spans="1:37" s="694" customFormat="1" ht="12.75" customHeight="1">
      <c r="A47" s="1000"/>
      <c r="B47" s="1002"/>
      <c r="C47" s="965"/>
      <c r="D47" s="966"/>
      <c r="E47" s="1003"/>
      <c r="F47" s="967"/>
      <c r="G47" s="967"/>
      <c r="H47" s="967"/>
      <c r="I47" s="967"/>
      <c r="J47" s="967"/>
      <c r="K47" s="967"/>
      <c r="L47" s="682" t="s">
        <v>398</v>
      </c>
      <c r="M47" s="683" t="s">
        <v>326</v>
      </c>
      <c r="N47" s="684">
        <v>1</v>
      </c>
      <c r="O47" s="685">
        <f>E46*N47</f>
        <v>0.39200000000000002</v>
      </c>
      <c r="P47" s="686">
        <v>322.91699999999997</v>
      </c>
      <c r="Q47" s="687">
        <f>N47*P47*$N$11</f>
        <v>372.1628435427001</v>
      </c>
      <c r="R47" s="767">
        <f>SUM(Q47:Q47)</f>
        <v>372.1628435427001</v>
      </c>
      <c r="S47" s="999"/>
      <c r="T47" s="999"/>
      <c r="U47" s="964"/>
      <c r="V47" s="965"/>
      <c r="W47" s="966"/>
      <c r="X47" s="692"/>
      <c r="Y47" s="693"/>
      <c r="Z47" s="693"/>
      <c r="AA47" s="693"/>
      <c r="AB47" s="693"/>
      <c r="AC47" s="693"/>
      <c r="AD47" s="693"/>
      <c r="AE47" s="693"/>
      <c r="AF47" s="693"/>
      <c r="AG47" s="693"/>
      <c r="AH47" s="693"/>
      <c r="AI47" s="693"/>
      <c r="AJ47" s="693"/>
      <c r="AK47" s="693"/>
    </row>
    <row r="48" spans="1:37" s="694" customFormat="1" ht="12.75" customHeight="1">
      <c r="A48" s="1000">
        <f>+A46+1</f>
        <v>9</v>
      </c>
      <c r="B48" s="1001" t="s">
        <v>191</v>
      </c>
      <c r="C48" s="965" t="s">
        <v>392</v>
      </c>
      <c r="D48" s="966" t="s">
        <v>326</v>
      </c>
      <c r="E48" s="1003">
        <v>0.18099999999999999</v>
      </c>
      <c r="F48" s="967"/>
      <c r="G48" s="967"/>
      <c r="H48" s="967"/>
      <c r="I48" s="1004"/>
      <c r="J48" s="1004"/>
      <c r="K48" s="1004"/>
      <c r="L48" s="673"/>
      <c r="M48" s="674"/>
      <c r="N48" s="675"/>
      <c r="O48" s="676"/>
      <c r="P48" s="676"/>
      <c r="Q48" s="677"/>
      <c r="R48" s="767">
        <f>F49+I49</f>
        <v>0</v>
      </c>
      <c r="S48" s="999">
        <f>R48+R49</f>
        <v>409.7793922236001</v>
      </c>
      <c r="T48" s="999">
        <f>E48*S48</f>
        <v>74.17006999247161</v>
      </c>
      <c r="U48" s="964">
        <f>R49*E48</f>
        <v>74.17006999247161</v>
      </c>
      <c r="V48" s="965" t="s">
        <v>392</v>
      </c>
      <c r="W48" s="966" t="s">
        <v>326</v>
      </c>
      <c r="X48" s="692">
        <f>+W43*X43</f>
        <v>0</v>
      </c>
      <c r="Y48" s="693"/>
      <c r="Z48" s="693"/>
      <c r="AA48" s="693"/>
      <c r="AB48" s="693"/>
      <c r="AC48" s="693"/>
      <c r="AD48" s="693"/>
      <c r="AE48" s="693"/>
      <c r="AF48" s="693"/>
      <c r="AG48" s="693"/>
      <c r="AH48" s="693"/>
      <c r="AI48" s="693"/>
      <c r="AJ48" s="693"/>
      <c r="AK48" s="693"/>
    </row>
    <row r="49" spans="1:39" s="694" customFormat="1" ht="12.75" customHeight="1">
      <c r="A49" s="1000"/>
      <c r="B49" s="1002"/>
      <c r="C49" s="965"/>
      <c r="D49" s="966"/>
      <c r="E49" s="1003"/>
      <c r="F49" s="967"/>
      <c r="G49" s="967"/>
      <c r="H49" s="967"/>
      <c r="I49" s="967"/>
      <c r="J49" s="967"/>
      <c r="K49" s="967"/>
      <c r="L49" s="682" t="s">
        <v>392</v>
      </c>
      <c r="M49" s="683" t="s">
        <v>326</v>
      </c>
      <c r="N49" s="684">
        <v>1</v>
      </c>
      <c r="O49" s="685">
        <f>E48*N49</f>
        <v>0.18099999999999999</v>
      </c>
      <c r="P49" s="686">
        <v>355.55599999999998</v>
      </c>
      <c r="Q49" s="687">
        <f>N49*P49*$N$11</f>
        <v>409.7793922236001</v>
      </c>
      <c r="R49" s="767">
        <f>SUM(Q49:Q49)</f>
        <v>409.7793922236001</v>
      </c>
      <c r="S49" s="999"/>
      <c r="T49" s="999"/>
      <c r="U49" s="964"/>
      <c r="V49" s="965"/>
      <c r="W49" s="966"/>
      <c r="X49" s="692"/>
      <c r="Y49" s="693"/>
      <c r="Z49" s="693"/>
      <c r="AA49" s="693"/>
      <c r="AB49" s="693"/>
      <c r="AC49" s="693"/>
      <c r="AD49" s="693"/>
      <c r="AE49" s="693"/>
      <c r="AF49" s="693"/>
      <c r="AG49" s="693"/>
      <c r="AH49" s="693"/>
      <c r="AI49" s="693"/>
      <c r="AJ49" s="693"/>
      <c r="AK49" s="693"/>
    </row>
    <row r="50" spans="1:39" s="694" customFormat="1" ht="12.75" customHeight="1">
      <c r="A50" s="1000">
        <f>+A48+1</f>
        <v>10</v>
      </c>
      <c r="B50" s="1001" t="s">
        <v>191</v>
      </c>
      <c r="C50" s="965" t="s">
        <v>393</v>
      </c>
      <c r="D50" s="966" t="s">
        <v>326</v>
      </c>
      <c r="E50" s="1003">
        <v>1.4E-2</v>
      </c>
      <c r="F50" s="967"/>
      <c r="G50" s="967"/>
      <c r="H50" s="967"/>
      <c r="I50" s="1004"/>
      <c r="J50" s="1004"/>
      <c r="K50" s="1004"/>
      <c r="L50" s="673"/>
      <c r="M50" s="674"/>
      <c r="N50" s="675"/>
      <c r="O50" s="676"/>
      <c r="P50" s="676"/>
      <c r="Q50" s="677"/>
      <c r="R50" s="767">
        <f>F51+I51</f>
        <v>0</v>
      </c>
      <c r="S50" s="999">
        <f>R50+R51</f>
        <v>352.95407437500012</v>
      </c>
      <c r="T50" s="999">
        <f>E50*S50</f>
        <v>4.9413570412500016</v>
      </c>
      <c r="U50" s="964">
        <f>R51*E50</f>
        <v>4.9413570412500016</v>
      </c>
      <c r="V50" s="965" t="s">
        <v>393</v>
      </c>
      <c r="W50" s="966" t="s">
        <v>326</v>
      </c>
      <c r="X50" s="692">
        <f>+W41*X41</f>
        <v>0</v>
      </c>
      <c r="Y50" s="693"/>
      <c r="Z50" s="693"/>
      <c r="AA50" s="693"/>
      <c r="AB50" s="693"/>
      <c r="AC50" s="693"/>
      <c r="AD50" s="693"/>
      <c r="AE50" s="693"/>
      <c r="AF50" s="693"/>
      <c r="AG50" s="693"/>
      <c r="AH50" s="693"/>
      <c r="AI50" s="693"/>
      <c r="AJ50" s="693"/>
      <c r="AK50" s="693"/>
    </row>
    <row r="51" spans="1:39" s="694" customFormat="1" ht="12.75" customHeight="1">
      <c r="A51" s="1000"/>
      <c r="B51" s="1002"/>
      <c r="C51" s="965"/>
      <c r="D51" s="966"/>
      <c r="E51" s="1003"/>
      <c r="F51" s="967"/>
      <c r="G51" s="967"/>
      <c r="H51" s="967"/>
      <c r="I51" s="967"/>
      <c r="J51" s="967"/>
      <c r="K51" s="967"/>
      <c r="L51" s="682" t="s">
        <v>393</v>
      </c>
      <c r="M51" s="683" t="s">
        <v>326</v>
      </c>
      <c r="N51" s="684">
        <v>1</v>
      </c>
      <c r="O51" s="685">
        <f>E50*N51</f>
        <v>1.4E-2</v>
      </c>
      <c r="P51" s="686">
        <v>306.25</v>
      </c>
      <c r="Q51" s="687">
        <f>N51*P51*$N$11</f>
        <v>352.95407437500012</v>
      </c>
      <c r="R51" s="767">
        <f>SUM(Q51:Q51)</f>
        <v>352.95407437500012</v>
      </c>
      <c r="S51" s="999"/>
      <c r="T51" s="999"/>
      <c r="U51" s="964"/>
      <c r="V51" s="965"/>
      <c r="W51" s="966"/>
      <c r="X51" s="692"/>
      <c r="Y51" s="693"/>
      <c r="Z51" s="693"/>
      <c r="AA51" s="693"/>
      <c r="AB51" s="693"/>
      <c r="AC51" s="693"/>
      <c r="AD51" s="693"/>
      <c r="AE51" s="693"/>
      <c r="AF51" s="693"/>
      <c r="AG51" s="693"/>
      <c r="AH51" s="693"/>
      <c r="AI51" s="693"/>
      <c r="AJ51" s="693"/>
      <c r="AK51" s="693"/>
    </row>
    <row r="52" spans="1:39" s="694" customFormat="1" ht="12.75" customHeight="1">
      <c r="A52" s="1021">
        <f>+A50+1</f>
        <v>11</v>
      </c>
      <c r="B52" s="1022" t="s">
        <v>359</v>
      </c>
      <c r="C52" s="983" t="s">
        <v>399</v>
      </c>
      <c r="D52" s="984" t="s">
        <v>180</v>
      </c>
      <c r="E52" s="996">
        <v>1.1499999999999999</v>
      </c>
      <c r="F52" s="997">
        <v>4.6100000000000003</v>
      </c>
      <c r="G52" s="997"/>
      <c r="H52" s="997"/>
      <c r="I52" s="998">
        <v>0.81</v>
      </c>
      <c r="J52" s="998"/>
      <c r="K52" s="998"/>
      <c r="L52" s="660"/>
      <c r="M52" s="638"/>
      <c r="N52" s="756"/>
      <c r="O52" s="756"/>
      <c r="P52" s="756"/>
      <c r="Q52" s="749"/>
      <c r="R52" s="765">
        <f>F53+I53</f>
        <v>13.384046100000003</v>
      </c>
      <c r="S52" s="997">
        <f>R52+R53</f>
        <v>88.807224645579922</v>
      </c>
      <c r="T52" s="997">
        <f>E52*S52</f>
        <v>102.1283083424169</v>
      </c>
      <c r="U52" s="982">
        <f>R53*E52</f>
        <v>86.736655327416898</v>
      </c>
      <c r="V52" s="983" t="s">
        <v>399</v>
      </c>
      <c r="W52" s="984" t="s">
        <v>180</v>
      </c>
      <c r="X52" s="692"/>
      <c r="Y52" s="693"/>
      <c r="Z52" s="693"/>
      <c r="AA52" s="693"/>
      <c r="AB52" s="693"/>
      <c r="AC52" s="693"/>
      <c r="AD52" s="693"/>
      <c r="AE52" s="693"/>
      <c r="AF52" s="693"/>
      <c r="AG52" s="693"/>
      <c r="AH52" s="693"/>
      <c r="AI52" s="693"/>
      <c r="AJ52" s="693"/>
      <c r="AK52" s="693"/>
    </row>
    <row r="53" spans="1:39" s="694" customFormat="1" ht="12.75" customHeight="1">
      <c r="A53" s="1021"/>
      <c r="B53" s="1022"/>
      <c r="C53" s="983"/>
      <c r="D53" s="985"/>
      <c r="E53" s="996"/>
      <c r="F53" s="997">
        <f>F52*J$13/1000</f>
        <v>10.773570000000001</v>
      </c>
      <c r="G53" s="997"/>
      <c r="H53" s="997"/>
      <c r="I53" s="997">
        <f>I52*$Q$13/1000</f>
        <v>2.6104761000000005</v>
      </c>
      <c r="J53" s="997"/>
      <c r="K53" s="997"/>
      <c r="L53" s="249" t="s">
        <v>394</v>
      </c>
      <c r="M53" s="250" t="s">
        <v>184</v>
      </c>
      <c r="N53" s="252">
        <v>1.02</v>
      </c>
      <c r="O53" s="252">
        <f>E52*N53</f>
        <v>1.1729999999999998</v>
      </c>
      <c r="P53" s="236">
        <v>55</v>
      </c>
      <c r="Q53" s="253">
        <f>N53*P53*$N$11</f>
        <v>64.655423910000025</v>
      </c>
      <c r="R53" s="997">
        <f>SUM(Q53:Q55)</f>
        <v>75.423178545579916</v>
      </c>
      <c r="S53" s="997"/>
      <c r="T53" s="997"/>
      <c r="U53" s="982"/>
      <c r="V53" s="983"/>
      <c r="W53" s="985"/>
      <c r="X53" s="692"/>
      <c r="Y53" s="693"/>
      <c r="Z53" s="693"/>
      <c r="AA53" s="693"/>
      <c r="AB53" s="693"/>
      <c r="AC53" s="693"/>
      <c r="AD53" s="693"/>
      <c r="AE53" s="693"/>
      <c r="AF53" s="693"/>
      <c r="AG53" s="693"/>
      <c r="AH53" s="693"/>
      <c r="AI53" s="693"/>
      <c r="AJ53" s="693"/>
      <c r="AK53" s="693"/>
    </row>
    <row r="54" spans="1:39" s="694" customFormat="1" ht="12.75" customHeight="1">
      <c r="A54" s="1021"/>
      <c r="B54" s="1022"/>
      <c r="C54" s="983"/>
      <c r="D54" s="985"/>
      <c r="E54" s="996"/>
      <c r="F54" s="997"/>
      <c r="G54" s="997"/>
      <c r="H54" s="997"/>
      <c r="I54" s="997"/>
      <c r="J54" s="997"/>
      <c r="K54" s="997"/>
      <c r="L54" s="450" t="s">
        <v>185</v>
      </c>
      <c r="M54" s="260" t="s">
        <v>186</v>
      </c>
      <c r="N54" s="261">
        <v>1.37</v>
      </c>
      <c r="O54" s="261">
        <f>E52*N54</f>
        <v>1.5754999999999999</v>
      </c>
      <c r="P54" s="237">
        <v>3.5</v>
      </c>
      <c r="Q54" s="412">
        <f>N54*P54*$N$11</f>
        <v>5.5262523645000012</v>
      </c>
      <c r="R54" s="997"/>
      <c r="S54" s="997"/>
      <c r="T54" s="997"/>
      <c r="U54" s="982"/>
      <c r="V54" s="983"/>
      <c r="W54" s="985"/>
      <c r="X54" s="692"/>
      <c r="Y54" s="693"/>
      <c r="Z54" s="693"/>
      <c r="AA54" s="693"/>
      <c r="AB54" s="693"/>
      <c r="AC54" s="693"/>
      <c r="AD54" s="693"/>
      <c r="AE54" s="693"/>
      <c r="AF54" s="693"/>
      <c r="AG54" s="693"/>
      <c r="AH54" s="693"/>
      <c r="AI54" s="693"/>
      <c r="AJ54" s="693"/>
      <c r="AK54" s="693"/>
    </row>
    <row r="55" spans="1:39" s="694" customFormat="1" ht="12.75" customHeight="1">
      <c r="A55" s="1021"/>
      <c r="B55" s="1022"/>
      <c r="C55" s="983"/>
      <c r="D55" s="986"/>
      <c r="E55" s="996"/>
      <c r="F55" s="997"/>
      <c r="G55" s="997"/>
      <c r="H55" s="997"/>
      <c r="I55" s="997"/>
      <c r="J55" s="997"/>
      <c r="K55" s="997"/>
      <c r="L55" s="450" t="s">
        <v>187</v>
      </c>
      <c r="M55" s="260" t="s">
        <v>184</v>
      </c>
      <c r="N55" s="261">
        <v>3.6999999999999998E-2</v>
      </c>
      <c r="O55" s="261">
        <f>E52*N55</f>
        <v>4.2549999999999998E-2</v>
      </c>
      <c r="P55" s="237">
        <v>122.917</v>
      </c>
      <c r="Q55" s="412">
        <f>N55*P55*$N$11</f>
        <v>5.2415022710799013</v>
      </c>
      <c r="R55" s="997"/>
      <c r="S55" s="997"/>
      <c r="T55" s="997"/>
      <c r="U55" s="982"/>
      <c r="V55" s="983"/>
      <c r="W55" s="986"/>
      <c r="X55" s="692"/>
      <c r="Y55" s="693"/>
      <c r="Z55" s="693"/>
      <c r="AA55" s="693"/>
      <c r="AB55" s="693"/>
      <c r="AC55" s="693"/>
      <c r="AD55" s="693"/>
      <c r="AE55" s="693"/>
      <c r="AF55" s="693"/>
      <c r="AG55" s="693"/>
      <c r="AH55" s="693"/>
      <c r="AI55" s="693"/>
      <c r="AJ55" s="693"/>
      <c r="AK55" s="693"/>
    </row>
    <row r="56" spans="1:39" s="694" customFormat="1" ht="12.75" customHeight="1">
      <c r="A56" s="1000">
        <f>+A50+1</f>
        <v>11</v>
      </c>
      <c r="B56" s="1001" t="s">
        <v>191</v>
      </c>
      <c r="C56" s="965" t="s">
        <v>398</v>
      </c>
      <c r="D56" s="966" t="s">
        <v>326</v>
      </c>
      <c r="E56" s="1003">
        <v>0.223</v>
      </c>
      <c r="F56" s="967"/>
      <c r="G56" s="967"/>
      <c r="H56" s="967"/>
      <c r="I56" s="1004"/>
      <c r="J56" s="1004"/>
      <c r="K56" s="1004"/>
      <c r="L56" s="673"/>
      <c r="M56" s="674"/>
      <c r="N56" s="675"/>
      <c r="O56" s="676"/>
      <c r="P56" s="676"/>
      <c r="Q56" s="677"/>
      <c r="R56" s="767">
        <f>F57+I57</f>
        <v>0</v>
      </c>
      <c r="S56" s="999">
        <f>R56+R57</f>
        <v>372.1628435427001</v>
      </c>
      <c r="T56" s="999">
        <f>E56*S56</f>
        <v>82.992314110022122</v>
      </c>
      <c r="U56" s="964">
        <f>R57*E56</f>
        <v>82.992314110022122</v>
      </c>
      <c r="V56" s="965" t="s">
        <v>398</v>
      </c>
      <c r="W56" s="966" t="s">
        <v>326</v>
      </c>
      <c r="X56" s="692">
        <f>+W51*X51</f>
        <v>0</v>
      </c>
      <c r="Y56" s="693"/>
      <c r="Z56" s="693"/>
      <c r="AA56" s="693"/>
      <c r="AB56" s="693"/>
      <c r="AC56" s="693"/>
      <c r="AD56" s="693"/>
      <c r="AE56" s="693"/>
      <c r="AF56" s="693"/>
      <c r="AG56" s="693"/>
      <c r="AH56" s="693"/>
      <c r="AI56" s="693"/>
      <c r="AJ56" s="693"/>
      <c r="AK56" s="693"/>
    </row>
    <row r="57" spans="1:39" s="694" customFormat="1" ht="12.75" customHeight="1">
      <c r="A57" s="1000"/>
      <c r="B57" s="1002"/>
      <c r="C57" s="965"/>
      <c r="D57" s="966"/>
      <c r="E57" s="1003"/>
      <c r="F57" s="967"/>
      <c r="G57" s="967"/>
      <c r="H57" s="967"/>
      <c r="I57" s="967"/>
      <c r="J57" s="967"/>
      <c r="K57" s="967"/>
      <c r="L57" s="682" t="s">
        <v>398</v>
      </c>
      <c r="M57" s="683" t="s">
        <v>326</v>
      </c>
      <c r="N57" s="684">
        <v>1</v>
      </c>
      <c r="O57" s="685">
        <f>E56*N57</f>
        <v>0.223</v>
      </c>
      <c r="P57" s="686">
        <v>322.91699999999997</v>
      </c>
      <c r="Q57" s="687">
        <f>N57*P57*$N$11</f>
        <v>372.1628435427001</v>
      </c>
      <c r="R57" s="767">
        <f>SUM(Q57:Q57)</f>
        <v>372.1628435427001</v>
      </c>
      <c r="S57" s="999"/>
      <c r="T57" s="999"/>
      <c r="U57" s="964"/>
      <c r="V57" s="965"/>
      <c r="W57" s="966"/>
      <c r="X57" s="692"/>
      <c r="Y57" s="693"/>
      <c r="Z57" s="693"/>
      <c r="AA57" s="693"/>
      <c r="AB57" s="693"/>
      <c r="AC57" s="693"/>
      <c r="AD57" s="693"/>
      <c r="AE57" s="693"/>
      <c r="AF57" s="693"/>
      <c r="AG57" s="693"/>
      <c r="AH57" s="693"/>
      <c r="AI57" s="693"/>
      <c r="AJ57" s="693"/>
      <c r="AK57" s="693"/>
    </row>
    <row r="58" spans="1:39" s="694" customFormat="1" ht="12.75" customHeight="1">
      <c r="A58" s="1000">
        <f>+A56+1</f>
        <v>12</v>
      </c>
      <c r="B58" s="1001" t="s">
        <v>191</v>
      </c>
      <c r="C58" s="965" t="s">
        <v>393</v>
      </c>
      <c r="D58" s="966" t="s">
        <v>326</v>
      </c>
      <c r="E58" s="1003">
        <v>1E-3</v>
      </c>
      <c r="F58" s="967"/>
      <c r="G58" s="967"/>
      <c r="H58" s="967"/>
      <c r="I58" s="1004"/>
      <c r="J58" s="1004"/>
      <c r="K58" s="1004"/>
      <c r="L58" s="673"/>
      <c r="M58" s="674"/>
      <c r="N58" s="675"/>
      <c r="O58" s="676"/>
      <c r="P58" s="676"/>
      <c r="Q58" s="677"/>
      <c r="R58" s="767">
        <f>F59+I59</f>
        <v>0</v>
      </c>
      <c r="S58" s="999">
        <f>R58+R59</f>
        <v>352.95407437500012</v>
      </c>
      <c r="T58" s="999">
        <f>E58*S58</f>
        <v>0.35295407437500015</v>
      </c>
      <c r="U58" s="964">
        <f>R59*E58</f>
        <v>0.35295407437500015</v>
      </c>
      <c r="V58" s="965" t="s">
        <v>392</v>
      </c>
      <c r="W58" s="966" t="s">
        <v>326</v>
      </c>
      <c r="X58" s="692">
        <f>+W53*X53</f>
        <v>0</v>
      </c>
      <c r="Y58" s="693"/>
      <c r="Z58" s="693"/>
      <c r="AA58" s="693"/>
      <c r="AB58" s="693"/>
      <c r="AC58" s="693"/>
      <c r="AD58" s="693"/>
      <c r="AE58" s="693"/>
      <c r="AF58" s="693"/>
      <c r="AG58" s="693"/>
      <c r="AH58" s="693"/>
      <c r="AI58" s="693"/>
      <c r="AJ58" s="693"/>
      <c r="AK58" s="693"/>
    </row>
    <row r="59" spans="1:39" s="694" customFormat="1" ht="12.75" customHeight="1">
      <c r="A59" s="1000"/>
      <c r="B59" s="1002"/>
      <c r="C59" s="965"/>
      <c r="D59" s="966"/>
      <c r="E59" s="1003"/>
      <c r="F59" s="967"/>
      <c r="G59" s="967"/>
      <c r="H59" s="967"/>
      <c r="I59" s="967"/>
      <c r="J59" s="967"/>
      <c r="K59" s="967"/>
      <c r="L59" s="682" t="s">
        <v>393</v>
      </c>
      <c r="M59" s="683" t="s">
        <v>326</v>
      </c>
      <c r="N59" s="684">
        <v>1</v>
      </c>
      <c r="O59" s="685">
        <f>E58*N59</f>
        <v>1E-3</v>
      </c>
      <c r="P59" s="686">
        <v>306.25</v>
      </c>
      <c r="Q59" s="687">
        <f>N59*P59*$N$11</f>
        <v>352.95407437500012</v>
      </c>
      <c r="R59" s="767">
        <f>SUM(Q59:Q59)</f>
        <v>352.95407437500012</v>
      </c>
      <c r="S59" s="999"/>
      <c r="T59" s="999"/>
      <c r="U59" s="964"/>
      <c r="V59" s="965"/>
      <c r="W59" s="966"/>
      <c r="X59" s="692"/>
      <c r="Y59" s="693"/>
      <c r="Z59" s="693"/>
      <c r="AA59" s="693"/>
      <c r="AB59" s="693"/>
      <c r="AC59" s="693"/>
      <c r="AD59" s="693"/>
      <c r="AE59" s="693"/>
      <c r="AF59" s="693"/>
      <c r="AG59" s="693"/>
      <c r="AH59" s="693"/>
      <c r="AI59" s="693"/>
      <c r="AJ59" s="693"/>
      <c r="AK59" s="693"/>
    </row>
    <row r="60" spans="1:39" s="421" customFormat="1" ht="14.25" customHeight="1">
      <c r="A60" s="1005">
        <f>+A58+1</f>
        <v>13</v>
      </c>
      <c r="B60" s="1008" t="s">
        <v>261</v>
      </c>
      <c r="C60" s="1011" t="s">
        <v>367</v>
      </c>
      <c r="D60" s="1014" t="s">
        <v>124</v>
      </c>
      <c r="E60" s="1267">
        <f>0.023*1000</f>
        <v>23</v>
      </c>
      <c r="F60" s="1193">
        <v>0.124</v>
      </c>
      <c r="G60" s="1194"/>
      <c r="H60" s="1195"/>
      <c r="I60" s="1201">
        <f>1.4/1000</f>
        <v>1.4E-3</v>
      </c>
      <c r="J60" s="1202"/>
      <c r="K60" s="1203"/>
      <c r="L60" s="339"/>
      <c r="M60" s="638"/>
      <c r="N60" s="756"/>
      <c r="O60" s="748"/>
      <c r="P60" s="756"/>
      <c r="Q60" s="749"/>
      <c r="R60" s="755">
        <f>F61+I61</f>
        <v>0.29429993399999999</v>
      </c>
      <c r="S60" s="987">
        <f>R60+R61</f>
        <v>0.81292632900000017</v>
      </c>
      <c r="T60" s="987">
        <f>E60*S60</f>
        <v>18.697305567000004</v>
      </c>
      <c r="U60" s="1112">
        <f>R61*E60</f>
        <v>11.928407085000003</v>
      </c>
      <c r="V60" s="1011" t="s">
        <v>367</v>
      </c>
      <c r="W60" s="1014" t="s">
        <v>124</v>
      </c>
      <c r="X60" s="703"/>
      <c r="Y60" s="239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</row>
    <row r="61" spans="1:39" s="421" customFormat="1" ht="13.5" customHeight="1">
      <c r="A61" s="1007"/>
      <c r="B61" s="1010"/>
      <c r="C61" s="1013"/>
      <c r="D61" s="1016"/>
      <c r="E61" s="1269"/>
      <c r="F61" s="993">
        <f>F60*J$13/1000</f>
        <v>0.28978799999999999</v>
      </c>
      <c r="G61" s="994"/>
      <c r="H61" s="995"/>
      <c r="I61" s="993">
        <f>I60*$Q$13/1000</f>
        <v>4.5119340000000004E-3</v>
      </c>
      <c r="J61" s="994"/>
      <c r="K61" s="995"/>
      <c r="L61" s="246" t="s">
        <v>347</v>
      </c>
      <c r="M61" s="243" t="s">
        <v>124</v>
      </c>
      <c r="N61" s="338">
        <v>1</v>
      </c>
      <c r="O61" s="244">
        <f>E60*N61</f>
        <v>23</v>
      </c>
      <c r="P61" s="243">
        <v>0.45</v>
      </c>
      <c r="Q61" s="245">
        <f>N61*P61*$N$11</f>
        <v>0.51862639500000018</v>
      </c>
      <c r="R61" s="750">
        <f>SUM(Q61:Q61)</f>
        <v>0.51862639500000018</v>
      </c>
      <c r="S61" s="989"/>
      <c r="T61" s="989"/>
      <c r="U61" s="1113"/>
      <c r="V61" s="1013"/>
      <c r="W61" s="1016"/>
      <c r="X61" s="703"/>
      <c r="Y61" s="239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</row>
    <row r="62" spans="1:39" s="335" customFormat="1" ht="21" customHeight="1">
      <c r="A62" s="1005">
        <f>+A60+1</f>
        <v>14</v>
      </c>
      <c r="B62" s="1008" t="s">
        <v>252</v>
      </c>
      <c r="C62" s="1053" t="s">
        <v>401</v>
      </c>
      <c r="D62" s="1014" t="s">
        <v>116</v>
      </c>
      <c r="E62" s="1199">
        <v>0.8</v>
      </c>
      <c r="F62" s="993">
        <v>0.33</v>
      </c>
      <c r="G62" s="994"/>
      <c r="H62" s="995"/>
      <c r="I62" s="993">
        <v>0.31</v>
      </c>
      <c r="J62" s="994"/>
      <c r="K62" s="995"/>
      <c r="L62" s="267"/>
      <c r="M62" s="638"/>
      <c r="N62" s="756"/>
      <c r="O62" s="756"/>
      <c r="P62" s="268"/>
      <c r="Q62" s="775"/>
      <c r="R62" s="755">
        <f>F63+I63</f>
        <v>1.7702811000000001</v>
      </c>
      <c r="S62" s="987">
        <f>R62+R63</f>
        <v>21.84342759270001</v>
      </c>
      <c r="T62" s="987">
        <f>E62*S62</f>
        <v>17.474742074160009</v>
      </c>
      <c r="U62" s="1017">
        <f>E62*R63</f>
        <v>16.058517194160007</v>
      </c>
      <c r="V62" s="1053" t="s">
        <v>402</v>
      </c>
      <c r="W62" s="1014" t="s">
        <v>194</v>
      </c>
      <c r="X62" s="209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</row>
    <row r="63" spans="1:39" s="335" customFormat="1" ht="21" customHeight="1">
      <c r="A63" s="1007"/>
      <c r="B63" s="1010"/>
      <c r="C63" s="1054"/>
      <c r="D63" s="1016"/>
      <c r="E63" s="1200"/>
      <c r="F63" s="993">
        <f>F62*$J$13/1000</f>
        <v>0.77121000000000006</v>
      </c>
      <c r="G63" s="994"/>
      <c r="H63" s="995"/>
      <c r="I63" s="993">
        <f>I62*$Q$13/1000</f>
        <v>0.99907109999999999</v>
      </c>
      <c r="J63" s="994"/>
      <c r="K63" s="995"/>
      <c r="L63" s="248" t="s">
        <v>253</v>
      </c>
      <c r="M63" s="243" t="s">
        <v>116</v>
      </c>
      <c r="N63" s="244">
        <v>1</v>
      </c>
      <c r="O63" s="247">
        <f>E62*N63</f>
        <v>0.8</v>
      </c>
      <c r="P63" s="240">
        <v>17.417000000000002</v>
      </c>
      <c r="Q63" s="245">
        <f>N63*P63*$N$11</f>
        <v>20.073146492700008</v>
      </c>
      <c r="R63" s="750">
        <f>SUM(Q63:Q63)</f>
        <v>20.073146492700008</v>
      </c>
      <c r="S63" s="989"/>
      <c r="T63" s="989"/>
      <c r="U63" s="1019"/>
      <c r="V63" s="1054"/>
      <c r="W63" s="1016"/>
      <c r="X63" s="209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</row>
    <row r="64" spans="1:39" s="421" customFormat="1" ht="14.25" customHeight="1">
      <c r="A64" s="1005">
        <f>+A62+1</f>
        <v>15</v>
      </c>
      <c r="B64" s="1008" t="s">
        <v>261</v>
      </c>
      <c r="C64" s="1011" t="s">
        <v>404</v>
      </c>
      <c r="D64" s="1014" t="s">
        <v>124</v>
      </c>
      <c r="E64" s="1267">
        <f>0.0013*1000</f>
        <v>1.3</v>
      </c>
      <c r="F64" s="1193">
        <v>0.124</v>
      </c>
      <c r="G64" s="1194"/>
      <c r="H64" s="1195"/>
      <c r="I64" s="1201">
        <f>1.4/1000</f>
        <v>1.4E-3</v>
      </c>
      <c r="J64" s="1202"/>
      <c r="K64" s="1203"/>
      <c r="L64" s="779"/>
      <c r="M64" s="638"/>
      <c r="N64" s="756"/>
      <c r="O64" s="756"/>
      <c r="P64" s="756"/>
      <c r="Q64" s="749"/>
      <c r="R64" s="755">
        <f>F65+I65</f>
        <v>0.29429993399999999</v>
      </c>
      <c r="S64" s="987">
        <f>R64+R65</f>
        <v>0.84173890650000016</v>
      </c>
      <c r="T64" s="987">
        <f>E64*S64</f>
        <v>1.0942605784500004</v>
      </c>
      <c r="U64" s="1112">
        <f>E64*Q65</f>
        <v>0.71167066425000025</v>
      </c>
      <c r="V64" s="1011" t="s">
        <v>404</v>
      </c>
      <c r="W64" s="1014" t="s">
        <v>124</v>
      </c>
      <c r="X64" s="703"/>
      <c r="Y64" s="239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</row>
    <row r="65" spans="1:37" s="421" customFormat="1" ht="13.5" customHeight="1">
      <c r="A65" s="1007"/>
      <c r="B65" s="1010"/>
      <c r="C65" s="1013"/>
      <c r="D65" s="1016"/>
      <c r="E65" s="1269"/>
      <c r="F65" s="993">
        <f>F64*J$13/1000</f>
        <v>0.28978799999999999</v>
      </c>
      <c r="G65" s="994"/>
      <c r="H65" s="995"/>
      <c r="I65" s="993">
        <f>I64*$Q$13/1000</f>
        <v>4.5119340000000004E-3</v>
      </c>
      <c r="J65" s="994"/>
      <c r="K65" s="995"/>
      <c r="L65" s="246" t="s">
        <v>403</v>
      </c>
      <c r="M65" s="250" t="s">
        <v>124</v>
      </c>
      <c r="N65" s="264">
        <v>1</v>
      </c>
      <c r="O65" s="265">
        <f>E64*N65</f>
        <v>1.3</v>
      </c>
      <c r="P65" s="341">
        <v>0.47499999999999998</v>
      </c>
      <c r="Q65" s="233">
        <f>N65*P65*$N$11</f>
        <v>0.54743897250000018</v>
      </c>
      <c r="R65" s="755">
        <f>SUM(Q65:Q65)</f>
        <v>0.54743897250000018</v>
      </c>
      <c r="S65" s="989"/>
      <c r="T65" s="989"/>
      <c r="U65" s="1113"/>
      <c r="V65" s="1013"/>
      <c r="W65" s="1016"/>
      <c r="X65" s="703"/>
      <c r="Y65" s="239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</row>
    <row r="66" spans="1:37" s="241" customFormat="1" ht="12.75" customHeight="1">
      <c r="A66" s="1434">
        <f>+A64+1</f>
        <v>16</v>
      </c>
      <c r="B66" s="1437" t="s">
        <v>405</v>
      </c>
      <c r="C66" s="1438" t="s">
        <v>406</v>
      </c>
      <c r="D66" s="1439" t="s">
        <v>164</v>
      </c>
      <c r="E66" s="1442">
        <v>4</v>
      </c>
      <c r="F66" s="1443">
        <f>4.72*0.25</f>
        <v>1.18</v>
      </c>
      <c r="G66" s="1443"/>
      <c r="H66" s="1443"/>
      <c r="I66" s="1443">
        <f>2.07*0.25</f>
        <v>0.51749999999999996</v>
      </c>
      <c r="J66" s="1443"/>
      <c r="K66" s="1444"/>
      <c r="L66" s="339"/>
      <c r="M66" s="638"/>
      <c r="N66" s="756"/>
      <c r="O66" s="756"/>
      <c r="P66" s="756"/>
      <c r="Q66" s="253"/>
      <c r="R66" s="517">
        <f>F67+I67</f>
        <v>4.4254641750000001</v>
      </c>
      <c r="S66" s="1443">
        <f>R66+R67</f>
        <v>8.4505715396452246</v>
      </c>
      <c r="T66" s="1443">
        <f>E66*S66</f>
        <v>33.802286158580898</v>
      </c>
      <c r="U66" s="1445">
        <f>R67*E66</f>
        <v>16.100429458580901</v>
      </c>
      <c r="V66" s="1053" t="s">
        <v>300</v>
      </c>
      <c r="W66" s="1446" t="s">
        <v>197</v>
      </c>
    </row>
    <row r="67" spans="1:37" s="241" customFormat="1">
      <c r="A67" s="1435"/>
      <c r="B67" s="1437"/>
      <c r="C67" s="1438"/>
      <c r="D67" s="1440"/>
      <c r="E67" s="1442"/>
      <c r="F67" s="1449">
        <f>F66*$J$13/1000</f>
        <v>2.75766</v>
      </c>
      <c r="G67" s="1450"/>
      <c r="H67" s="1451"/>
      <c r="I67" s="1458">
        <f>I66*$Q$13/1000</f>
        <v>1.6678041749999997</v>
      </c>
      <c r="J67" s="1459"/>
      <c r="K67" s="1460"/>
      <c r="L67" s="249" t="s">
        <v>255</v>
      </c>
      <c r="M67" s="250" t="s">
        <v>124</v>
      </c>
      <c r="N67" s="406">
        <v>2.5</v>
      </c>
      <c r="O67" s="252">
        <f>E66*N67</f>
        <v>10</v>
      </c>
      <c r="P67" s="236">
        <v>0.16550000000000001</v>
      </c>
      <c r="Q67" s="253">
        <f>N67*P67*$N$11</f>
        <v>0.47684815762500016</v>
      </c>
      <c r="R67" s="1443">
        <f>SUM(Q67:Q69)</f>
        <v>4.0251073646452253</v>
      </c>
      <c r="S67" s="1443"/>
      <c r="T67" s="1443"/>
      <c r="U67" s="1445"/>
      <c r="V67" s="1286"/>
      <c r="W67" s="1447"/>
    </row>
    <row r="68" spans="1:37" s="241" customFormat="1">
      <c r="A68" s="1435"/>
      <c r="B68" s="1437"/>
      <c r="C68" s="1438"/>
      <c r="D68" s="1440"/>
      <c r="E68" s="1442"/>
      <c r="F68" s="1452"/>
      <c r="G68" s="1453"/>
      <c r="H68" s="1454"/>
      <c r="I68" s="1461"/>
      <c r="J68" s="1462"/>
      <c r="K68" s="1463"/>
      <c r="L68" s="249" t="s">
        <v>361</v>
      </c>
      <c r="M68" s="250" t="s">
        <v>389</v>
      </c>
      <c r="N68" s="406">
        <v>0.03</v>
      </c>
      <c r="O68" s="252">
        <f>E66*N68</f>
        <v>0.12</v>
      </c>
      <c r="P68" s="236">
        <v>32.4</v>
      </c>
      <c r="Q68" s="253">
        <f>N68*P68*$N$11</f>
        <v>1.1202330132000002</v>
      </c>
      <c r="R68" s="1443"/>
      <c r="S68" s="1443"/>
      <c r="T68" s="1443"/>
      <c r="U68" s="1445"/>
      <c r="V68" s="1286"/>
      <c r="W68" s="1447"/>
    </row>
    <row r="69" spans="1:37" s="241" customFormat="1">
      <c r="A69" s="1436"/>
      <c r="B69" s="1437"/>
      <c r="C69" s="1438"/>
      <c r="D69" s="1441"/>
      <c r="E69" s="1442"/>
      <c r="F69" s="1455"/>
      <c r="G69" s="1456"/>
      <c r="H69" s="1457"/>
      <c r="I69" s="1464"/>
      <c r="J69" s="1465"/>
      <c r="K69" s="1466"/>
      <c r="L69" s="780" t="s">
        <v>256</v>
      </c>
      <c r="M69" s="254" t="s">
        <v>124</v>
      </c>
      <c r="N69" s="408">
        <v>1.5</v>
      </c>
      <c r="O69" s="256">
        <f>E66*N69</f>
        <v>6</v>
      </c>
      <c r="P69" s="257">
        <f>1.25/0.89</f>
        <v>1.4044943820224718</v>
      </c>
      <c r="Q69" s="258">
        <f>N69*P69*$N$11</f>
        <v>2.4280261938202252</v>
      </c>
      <c r="R69" s="1443"/>
      <c r="S69" s="1443"/>
      <c r="T69" s="1443"/>
      <c r="U69" s="1445"/>
      <c r="V69" s="1054"/>
      <c r="W69" s="1448"/>
    </row>
    <row r="70" spans="1:37" s="681" customFormat="1" ht="18" customHeight="1">
      <c r="A70" s="1350">
        <f>+A66+1</f>
        <v>17</v>
      </c>
      <c r="B70" s="1352" t="s">
        <v>357</v>
      </c>
      <c r="C70" s="1354" t="s">
        <v>407</v>
      </c>
      <c r="D70" s="1356" t="s">
        <v>122</v>
      </c>
      <c r="E70" s="1358">
        <v>6</v>
      </c>
      <c r="F70" s="1360">
        <v>0.27400000000000002</v>
      </c>
      <c r="G70" s="1360"/>
      <c r="H70" s="1360"/>
      <c r="I70" s="1361">
        <v>2.0799999999999999E-2</v>
      </c>
      <c r="J70" s="1361"/>
      <c r="K70" s="1361"/>
      <c r="L70" s="673"/>
      <c r="M70" s="674"/>
      <c r="N70" s="675"/>
      <c r="O70" s="676"/>
      <c r="P70" s="676"/>
      <c r="Q70" s="677"/>
      <c r="R70" s="764">
        <f>F71+I71</f>
        <v>0.7073724480000001</v>
      </c>
      <c r="S70" s="1362">
        <f>R70+R71</f>
        <v>1.5300291607800003</v>
      </c>
      <c r="T70" s="1362">
        <f>E70*S70</f>
        <v>9.1801749646800026</v>
      </c>
      <c r="U70" s="1363">
        <f>E70*Q71</f>
        <v>4.9359402766800011</v>
      </c>
      <c r="V70" s="1354" t="s">
        <v>407</v>
      </c>
      <c r="W70" s="1356" t="s">
        <v>122</v>
      </c>
      <c r="X70" s="678"/>
      <c r="Y70" s="679"/>
      <c r="Z70" s="680"/>
      <c r="AA70" s="680"/>
      <c r="AB70" s="680"/>
      <c r="AC70" s="680"/>
      <c r="AD70" s="680"/>
      <c r="AE70" s="680"/>
      <c r="AF70" s="680"/>
      <c r="AG70" s="680"/>
      <c r="AH70" s="680"/>
      <c r="AI70" s="680"/>
      <c r="AJ70" s="680"/>
      <c r="AK70" s="680"/>
    </row>
    <row r="71" spans="1:37" s="681" customFormat="1" ht="20.25" customHeight="1">
      <c r="A71" s="1351"/>
      <c r="B71" s="1353"/>
      <c r="C71" s="1355"/>
      <c r="D71" s="1357"/>
      <c r="E71" s="1359"/>
      <c r="F71" s="1362">
        <f>F70*$J$13/1000</f>
        <v>0.64033800000000007</v>
      </c>
      <c r="G71" s="1362"/>
      <c r="H71" s="1362"/>
      <c r="I71" s="1362">
        <f>I70*$Q$13/1000</f>
        <v>6.7034447999999996E-2</v>
      </c>
      <c r="J71" s="1362"/>
      <c r="K71" s="1362"/>
      <c r="L71" s="682" t="s">
        <v>358</v>
      </c>
      <c r="M71" s="683" t="s">
        <v>124</v>
      </c>
      <c r="N71" s="684">
        <f>0.0043*1000</f>
        <v>4.3</v>
      </c>
      <c r="O71" s="685">
        <f>E70*N71</f>
        <v>25.799999999999997</v>
      </c>
      <c r="P71" s="686">
        <v>0.16600000000000001</v>
      </c>
      <c r="Q71" s="687">
        <f>N71*P71*$N$11</f>
        <v>0.82265671278000019</v>
      </c>
      <c r="R71" s="764">
        <f>SUM(Q71:Q71)</f>
        <v>0.82265671278000019</v>
      </c>
      <c r="S71" s="1362"/>
      <c r="T71" s="1362"/>
      <c r="U71" s="1363"/>
      <c r="V71" s="1355"/>
      <c r="W71" s="1357"/>
      <c r="X71" s="678"/>
      <c r="Y71" s="679"/>
      <c r="Z71" s="680"/>
      <c r="AA71" s="680"/>
      <c r="AB71" s="680"/>
      <c r="AC71" s="680"/>
      <c r="AD71" s="680"/>
      <c r="AE71" s="680"/>
      <c r="AF71" s="680"/>
      <c r="AG71" s="680"/>
      <c r="AH71" s="680"/>
      <c r="AI71" s="680"/>
      <c r="AJ71" s="680"/>
      <c r="AK71" s="680"/>
    </row>
    <row r="72" spans="1:37" s="735" customFormat="1" ht="12">
      <c r="A72" s="1471">
        <f>+A70+1</f>
        <v>18</v>
      </c>
      <c r="B72" s="1473" t="s">
        <v>372</v>
      </c>
      <c r="C72" s="1467" t="s">
        <v>408</v>
      </c>
      <c r="D72" s="1469" t="s">
        <v>122</v>
      </c>
      <c r="E72" s="1475">
        <v>6</v>
      </c>
      <c r="F72" s="1477">
        <f>9.88/100</f>
        <v>9.8800000000000013E-2</v>
      </c>
      <c r="G72" s="1477"/>
      <c r="H72" s="1477"/>
      <c r="I72" s="1477">
        <f>0.95/100</f>
        <v>9.4999999999999998E-3</v>
      </c>
      <c r="J72" s="1477"/>
      <c r="K72" s="1477"/>
      <c r="L72" s="731"/>
      <c r="M72" s="648"/>
      <c r="N72" s="649"/>
      <c r="O72" s="732"/>
      <c r="P72" s="649"/>
      <c r="Q72" s="762"/>
      <c r="R72" s="773">
        <f>F73+I73</f>
        <v>0.26151229500000006</v>
      </c>
      <c r="S72" s="1478">
        <f>R72+R73</f>
        <v>1.0232707439760003</v>
      </c>
      <c r="T72" s="1478">
        <f>E72*S72</f>
        <v>6.139624463856002</v>
      </c>
      <c r="U72" s="1480">
        <f>E72*R73</f>
        <v>4.570550693856001</v>
      </c>
      <c r="V72" s="1467" t="s">
        <v>408</v>
      </c>
      <c r="W72" s="1469" t="s">
        <v>122</v>
      </c>
      <c r="X72" s="733"/>
      <c r="Y72" s="734"/>
    </row>
    <row r="73" spans="1:37" s="735" customFormat="1" ht="19.5" customHeight="1">
      <c r="A73" s="1472"/>
      <c r="B73" s="1474"/>
      <c r="C73" s="1468"/>
      <c r="D73" s="1470"/>
      <c r="E73" s="1476"/>
      <c r="F73" s="1482">
        <f>F72*$J$13/1000</f>
        <v>0.23089560000000003</v>
      </c>
      <c r="G73" s="1482"/>
      <c r="H73" s="1482"/>
      <c r="I73" s="1483">
        <f>I72*$Q$13/1000</f>
        <v>3.0616694999999999E-2</v>
      </c>
      <c r="J73" s="1484"/>
      <c r="K73" s="1485"/>
      <c r="L73" s="736" t="s">
        <v>373</v>
      </c>
      <c r="M73" s="737" t="s">
        <v>180</v>
      </c>
      <c r="N73" s="738">
        <f>2.04/100</f>
        <v>2.0400000000000001E-2</v>
      </c>
      <c r="O73" s="739">
        <f>E72*N73</f>
        <v>0.12240000000000001</v>
      </c>
      <c r="P73" s="740">
        <v>32.4</v>
      </c>
      <c r="Q73" s="741">
        <f>N73*P73*$N$11</f>
        <v>0.7617584489760002</v>
      </c>
      <c r="R73" s="773">
        <f>SUM(Q73:Q73)</f>
        <v>0.7617584489760002</v>
      </c>
      <c r="S73" s="1479"/>
      <c r="T73" s="1479"/>
      <c r="U73" s="1481"/>
      <c r="V73" s="1468"/>
      <c r="W73" s="1470"/>
      <c r="X73" s="733"/>
      <c r="Y73" s="734"/>
    </row>
    <row r="74" spans="1:37" s="569" customFormat="1" ht="18.75" customHeight="1">
      <c r="A74" s="1240">
        <f>+A72+1</f>
        <v>19</v>
      </c>
      <c r="B74" s="1135" t="s">
        <v>345</v>
      </c>
      <c r="C74" s="1137" t="s">
        <v>346</v>
      </c>
      <c r="D74" s="984" t="s">
        <v>326</v>
      </c>
      <c r="E74" s="1243">
        <v>3.4000000000000002E-2</v>
      </c>
      <c r="F74" s="1246">
        <v>13.8</v>
      </c>
      <c r="G74" s="1247"/>
      <c r="H74" s="1248"/>
      <c r="I74" s="1249">
        <v>32.1</v>
      </c>
      <c r="J74" s="1250"/>
      <c r="K74" s="1251"/>
      <c r="L74" s="339"/>
      <c r="M74" s="638"/>
      <c r="N74" s="466"/>
      <c r="O74" s="756"/>
      <c r="P74" s="756"/>
      <c r="Q74" s="749"/>
      <c r="R74" s="650">
        <f>F75+I75</f>
        <v>135.70280100000002</v>
      </c>
      <c r="S74" s="1252">
        <f>R74+R75</f>
        <v>675.63644281218001</v>
      </c>
      <c r="T74" s="1252">
        <f>E74*S74</f>
        <v>22.971639055614123</v>
      </c>
      <c r="U74" s="1255">
        <f>R75*E74</f>
        <v>18.357743821614122</v>
      </c>
      <c r="V74" s="1137" t="s">
        <v>346</v>
      </c>
      <c r="W74" s="984" t="s">
        <v>326</v>
      </c>
      <c r="X74" s="636"/>
      <c r="Y74" s="637"/>
      <c r="Z74" s="637"/>
      <c r="AA74" s="637"/>
      <c r="AB74" s="637"/>
      <c r="AC74" s="637"/>
      <c r="AD74" s="637"/>
      <c r="AE74" s="637"/>
      <c r="AF74" s="637"/>
      <c r="AG74" s="637"/>
      <c r="AH74" s="637"/>
      <c r="AI74" s="637"/>
      <c r="AJ74" s="637"/>
      <c r="AK74" s="637"/>
    </row>
    <row r="75" spans="1:37" s="569" customFormat="1" ht="22.5">
      <c r="A75" s="1241"/>
      <c r="B75" s="1136"/>
      <c r="C75" s="1138"/>
      <c r="D75" s="985"/>
      <c r="E75" s="1244"/>
      <c r="F75" s="1258">
        <f>F74*J$13/1000</f>
        <v>32.250600000000006</v>
      </c>
      <c r="G75" s="1259"/>
      <c r="H75" s="1260"/>
      <c r="I75" s="1258">
        <f>I74*$Q$13/1000</f>
        <v>103.452201</v>
      </c>
      <c r="J75" s="1259"/>
      <c r="K75" s="1260"/>
      <c r="L75" s="342" t="s">
        <v>347</v>
      </c>
      <c r="M75" s="250" t="s">
        <v>326</v>
      </c>
      <c r="N75" s="265">
        <v>1</v>
      </c>
      <c r="O75" s="340">
        <f>E74*N75</f>
        <v>3.4000000000000002E-2</v>
      </c>
      <c r="P75" s="341">
        <v>450</v>
      </c>
      <c r="Q75" s="233">
        <f>N75*P75*$N$11</f>
        <v>518.62639500000012</v>
      </c>
      <c r="R75" s="1252">
        <f>SUM(Q75:Q78)</f>
        <v>539.93364181217999</v>
      </c>
      <c r="S75" s="1253"/>
      <c r="T75" s="1253"/>
      <c r="U75" s="1256"/>
      <c r="V75" s="1138"/>
      <c r="W75" s="985"/>
      <c r="X75" s="636"/>
      <c r="Y75" s="637"/>
      <c r="Z75" s="637"/>
      <c r="AA75" s="637"/>
      <c r="AB75" s="637"/>
      <c r="AC75" s="637"/>
      <c r="AD75" s="637"/>
      <c r="AE75" s="637"/>
      <c r="AF75" s="637"/>
      <c r="AG75" s="637"/>
      <c r="AH75" s="637"/>
      <c r="AI75" s="637"/>
      <c r="AJ75" s="637"/>
      <c r="AK75" s="637"/>
    </row>
    <row r="76" spans="1:37" s="569" customFormat="1" ht="12.75" customHeight="1">
      <c r="A76" s="1241"/>
      <c r="B76" s="1136"/>
      <c r="C76" s="1138"/>
      <c r="D76" s="985"/>
      <c r="E76" s="1244"/>
      <c r="F76" s="1261"/>
      <c r="G76" s="1262"/>
      <c r="H76" s="1263"/>
      <c r="I76" s="1261"/>
      <c r="J76" s="1262"/>
      <c r="K76" s="1263"/>
      <c r="L76" s="651" t="s">
        <v>348</v>
      </c>
      <c r="M76" s="260" t="s">
        <v>124</v>
      </c>
      <c r="N76" s="407">
        <v>1</v>
      </c>
      <c r="O76" s="261">
        <f>E74*N76</f>
        <v>3.4000000000000002E-2</v>
      </c>
      <c r="P76" s="237">
        <v>0.45</v>
      </c>
      <c r="Q76" s="262">
        <f>N76*P76*$N$11</f>
        <v>0.51862639500000018</v>
      </c>
      <c r="R76" s="1253"/>
      <c r="S76" s="1253"/>
      <c r="T76" s="1253"/>
      <c r="U76" s="1256"/>
      <c r="V76" s="1138"/>
      <c r="W76" s="985"/>
      <c r="X76" s="636"/>
      <c r="Y76" s="637"/>
      <c r="Z76" s="637"/>
      <c r="AA76" s="637"/>
      <c r="AB76" s="637"/>
      <c r="AC76" s="637"/>
      <c r="AD76" s="637"/>
      <c r="AE76" s="637"/>
      <c r="AF76" s="637"/>
      <c r="AG76" s="637"/>
      <c r="AH76" s="637"/>
      <c r="AI76" s="637"/>
      <c r="AJ76" s="637"/>
      <c r="AK76" s="637"/>
    </row>
    <row r="77" spans="1:37" s="569" customFormat="1" ht="12.75" customHeight="1">
      <c r="A77" s="1241"/>
      <c r="B77" s="1136"/>
      <c r="C77" s="1138"/>
      <c r="D77" s="985"/>
      <c r="E77" s="1244"/>
      <c r="F77" s="1261"/>
      <c r="G77" s="1262"/>
      <c r="H77" s="1263"/>
      <c r="I77" s="1261"/>
      <c r="J77" s="1262"/>
      <c r="K77" s="1263"/>
      <c r="L77" s="652" t="s">
        <v>349</v>
      </c>
      <c r="M77" s="653" t="s">
        <v>124</v>
      </c>
      <c r="N77" s="654">
        <v>13.4</v>
      </c>
      <c r="O77" s="655">
        <f>E74*N77</f>
        <v>0.45560000000000006</v>
      </c>
      <c r="P77" s="656">
        <v>1.167</v>
      </c>
      <c r="Q77" s="657">
        <f>N77*P77*$N$11</f>
        <v>18.022612977180007</v>
      </c>
      <c r="R77" s="1253"/>
      <c r="S77" s="1253"/>
      <c r="T77" s="1253"/>
      <c r="U77" s="1256"/>
      <c r="V77" s="1138"/>
      <c r="W77" s="985"/>
      <c r="X77" s="636"/>
      <c r="Y77" s="637"/>
      <c r="Z77" s="637"/>
      <c r="AA77" s="637"/>
      <c r="AB77" s="637"/>
      <c r="AC77" s="637"/>
      <c r="AD77" s="637"/>
      <c r="AE77" s="637"/>
      <c r="AF77" s="637"/>
      <c r="AG77" s="637"/>
      <c r="AH77" s="637"/>
      <c r="AI77" s="637"/>
      <c r="AJ77" s="637"/>
      <c r="AK77" s="637"/>
    </row>
    <row r="78" spans="1:37" s="569" customFormat="1" ht="12.75" customHeight="1">
      <c r="A78" s="1242"/>
      <c r="B78" s="1211"/>
      <c r="C78" s="1139"/>
      <c r="D78" s="986"/>
      <c r="E78" s="1245"/>
      <c r="F78" s="1264"/>
      <c r="G78" s="1265"/>
      <c r="H78" s="1266"/>
      <c r="I78" s="1264"/>
      <c r="J78" s="1265"/>
      <c r="K78" s="1266"/>
      <c r="L78" s="343" t="s">
        <v>190</v>
      </c>
      <c r="M78" s="457" t="s">
        <v>124</v>
      </c>
      <c r="N78" s="467">
        <v>2.4</v>
      </c>
      <c r="O78" s="256">
        <f>E74*N78</f>
        <v>8.1600000000000006E-2</v>
      </c>
      <c r="P78" s="467">
        <v>1</v>
      </c>
      <c r="Q78" s="258">
        <f>N78*P78*$N$11</f>
        <v>2.7660074400000005</v>
      </c>
      <c r="R78" s="1254"/>
      <c r="S78" s="1254"/>
      <c r="T78" s="1254"/>
      <c r="U78" s="1257"/>
      <c r="V78" s="1139"/>
      <c r="W78" s="986"/>
      <c r="X78" s="636"/>
      <c r="Y78" s="637"/>
      <c r="Z78" s="637"/>
      <c r="AA78" s="637"/>
      <c r="AB78" s="637"/>
      <c r="AC78" s="637"/>
      <c r="AD78" s="637"/>
      <c r="AE78" s="637"/>
      <c r="AF78" s="637"/>
      <c r="AG78" s="637"/>
      <c r="AH78" s="637"/>
      <c r="AI78" s="637"/>
      <c r="AJ78" s="637"/>
      <c r="AK78" s="637"/>
    </row>
    <row r="79" spans="1:37" s="721" customFormat="1" ht="12.75" customHeight="1">
      <c r="A79" s="1133">
        <f>+A74+1</f>
        <v>20</v>
      </c>
      <c r="B79" s="1135" t="s">
        <v>362</v>
      </c>
      <c r="C79" s="1137" t="s">
        <v>363</v>
      </c>
      <c r="D79" s="1140" t="s">
        <v>122</v>
      </c>
      <c r="E79" s="1142">
        <v>2.2000000000000002</v>
      </c>
      <c r="F79" s="1148">
        <v>0.38400000000000001</v>
      </c>
      <c r="G79" s="1148"/>
      <c r="H79" s="1148"/>
      <c r="I79" s="1214">
        <f>0.03/100</f>
        <v>2.9999999999999997E-4</v>
      </c>
      <c r="J79" s="1215"/>
      <c r="K79" s="1216"/>
      <c r="L79" s="417"/>
      <c r="M79" s="638"/>
      <c r="N79" s="705"/>
      <c r="O79" s="705"/>
      <c r="P79" s="756"/>
      <c r="Q79" s="706"/>
      <c r="R79" s="758">
        <f>F80+I80</f>
        <v>0.89837484300000003</v>
      </c>
      <c r="S79" s="1020">
        <f>R79+R80</f>
        <v>1.2786904934721002</v>
      </c>
      <c r="T79" s="1020">
        <f>E79*S79</f>
        <v>2.8131190856386206</v>
      </c>
      <c r="U79" s="1144">
        <f>R80*E79</f>
        <v>0.8366944310386204</v>
      </c>
      <c r="V79" s="1156" t="s">
        <v>409</v>
      </c>
      <c r="W79" s="1159" t="s">
        <v>410</v>
      </c>
      <c r="Y79" s="805"/>
      <c r="Z79" s="209"/>
      <c r="AA79" s="805"/>
      <c r="AB79" s="209"/>
      <c r="AC79" s="209"/>
      <c r="AD79" s="209"/>
      <c r="AE79" s="667"/>
      <c r="AF79" s="667"/>
      <c r="AG79" s="667"/>
      <c r="AH79" s="667"/>
      <c r="AI79" s="667"/>
      <c r="AJ79" s="667"/>
      <c r="AK79" s="667"/>
    </row>
    <row r="80" spans="1:37" s="721" customFormat="1" ht="12.75" customHeight="1">
      <c r="A80" s="1134"/>
      <c r="B80" s="1136"/>
      <c r="C80" s="1138"/>
      <c r="D80" s="1141"/>
      <c r="E80" s="1143"/>
      <c r="F80" s="1148">
        <f>F79*J$13/1000</f>
        <v>0.89740799999999998</v>
      </c>
      <c r="G80" s="1148"/>
      <c r="H80" s="1148"/>
      <c r="I80" s="1148">
        <f>I79*$Q$13/1000</f>
        <v>9.6684299999999989E-4</v>
      </c>
      <c r="J80" s="1148"/>
      <c r="K80" s="1148"/>
      <c r="L80" s="806" t="s">
        <v>130</v>
      </c>
      <c r="M80" s="250" t="s">
        <v>124</v>
      </c>
      <c r="N80" s="712">
        <v>0.246</v>
      </c>
      <c r="O80" s="713">
        <f>E79*N80</f>
        <v>0.54120000000000001</v>
      </c>
      <c r="P80" s="341">
        <v>1.25</v>
      </c>
      <c r="Q80" s="714">
        <f>N80*P80*$N$11</f>
        <v>0.35439470325000011</v>
      </c>
      <c r="R80" s="1020">
        <f>SUM(Q80:Q81)</f>
        <v>0.38031565047210014</v>
      </c>
      <c r="S80" s="1020"/>
      <c r="T80" s="1020"/>
      <c r="U80" s="1144"/>
      <c r="V80" s="1157"/>
      <c r="W80" s="1160"/>
      <c r="Y80" s="805"/>
      <c r="Z80" s="209"/>
      <c r="AA80" s="568" t="s">
        <v>364</v>
      </c>
      <c r="AB80" s="209"/>
      <c r="AC80" s="209"/>
      <c r="AD80" s="209"/>
      <c r="AE80" s="667"/>
      <c r="AF80" s="667"/>
      <c r="AG80" s="667"/>
      <c r="AH80" s="667"/>
      <c r="AI80" s="667"/>
      <c r="AJ80" s="667"/>
      <c r="AK80" s="667"/>
    </row>
    <row r="81" spans="1:37" s="721" customFormat="1" ht="12.75" customHeight="1">
      <c r="A81" s="1134"/>
      <c r="B81" s="1136"/>
      <c r="C81" s="1139"/>
      <c r="D81" s="1141"/>
      <c r="E81" s="1143"/>
      <c r="F81" s="1148"/>
      <c r="G81" s="1148"/>
      <c r="H81" s="1148"/>
      <c r="I81" s="1148"/>
      <c r="J81" s="1148"/>
      <c r="K81" s="1148"/>
      <c r="L81" s="807" t="s">
        <v>365</v>
      </c>
      <c r="M81" s="254" t="s">
        <v>124</v>
      </c>
      <c r="N81" s="715">
        <v>2.7E-2</v>
      </c>
      <c r="O81" s="716">
        <f>E79*N81</f>
        <v>5.9400000000000001E-2</v>
      </c>
      <c r="P81" s="355">
        <v>0.83299999999999996</v>
      </c>
      <c r="Q81" s="717">
        <f>N81*P81*$N$11</f>
        <v>2.5920947222100005E-2</v>
      </c>
      <c r="R81" s="1020"/>
      <c r="S81" s="1020"/>
      <c r="T81" s="1020"/>
      <c r="U81" s="1144"/>
      <c r="V81" s="1158"/>
      <c r="W81" s="1161"/>
      <c r="Y81" s="805"/>
      <c r="Z81" s="209"/>
      <c r="AA81" s="805"/>
      <c r="AB81" s="209"/>
      <c r="AC81" s="209"/>
      <c r="AD81" s="209"/>
      <c r="AE81" s="667"/>
      <c r="AF81" s="667"/>
      <c r="AG81" s="667"/>
      <c r="AH81" s="667"/>
      <c r="AI81" s="667"/>
      <c r="AJ81" s="667"/>
      <c r="AK81" s="667"/>
    </row>
    <row r="82" spans="1:37" s="681" customFormat="1" ht="18" customHeight="1">
      <c r="A82" s="1350">
        <f>+A79+1</f>
        <v>21</v>
      </c>
      <c r="B82" s="1352" t="s">
        <v>357</v>
      </c>
      <c r="C82" s="1354" t="s">
        <v>484</v>
      </c>
      <c r="D82" s="1356" t="s">
        <v>122</v>
      </c>
      <c r="E82" s="1358">
        <v>5.6</v>
      </c>
      <c r="F82" s="1360">
        <v>0.27400000000000002</v>
      </c>
      <c r="G82" s="1360"/>
      <c r="H82" s="1360"/>
      <c r="I82" s="1361">
        <v>2.0799999999999999E-2</v>
      </c>
      <c r="J82" s="1361"/>
      <c r="K82" s="1361"/>
      <c r="L82" s="673"/>
      <c r="M82" s="674"/>
      <c r="N82" s="675"/>
      <c r="O82" s="676"/>
      <c r="P82" s="676"/>
      <c r="Q82" s="677"/>
      <c r="R82" s="764">
        <f>F83+I83</f>
        <v>0.7073724480000001</v>
      </c>
      <c r="S82" s="1362">
        <f>R82+R83</f>
        <v>1.5300291607800003</v>
      </c>
      <c r="T82" s="1362">
        <f>E82*S82</f>
        <v>8.5681633003680009</v>
      </c>
      <c r="U82" s="1363">
        <f>E82*Q83</f>
        <v>4.6068775915680007</v>
      </c>
      <c r="V82" s="1354" t="s">
        <v>411</v>
      </c>
      <c r="W82" s="1356" t="s">
        <v>122</v>
      </c>
      <c r="X82" s="678"/>
      <c r="Y82" s="679"/>
      <c r="Z82" s="680"/>
      <c r="AA82" s="680"/>
      <c r="AB82" s="680"/>
      <c r="AC82" s="680"/>
      <c r="AD82" s="680"/>
      <c r="AE82" s="680"/>
      <c r="AF82" s="680"/>
      <c r="AG82" s="680"/>
      <c r="AH82" s="680"/>
      <c r="AI82" s="680"/>
      <c r="AJ82" s="680"/>
      <c r="AK82" s="680"/>
    </row>
    <row r="83" spans="1:37" s="681" customFormat="1" ht="20.25" customHeight="1">
      <c r="A83" s="1351"/>
      <c r="B83" s="1353"/>
      <c r="C83" s="1355"/>
      <c r="D83" s="1357"/>
      <c r="E83" s="1359"/>
      <c r="F83" s="1362">
        <f>F82*$J$13/1000</f>
        <v>0.64033800000000007</v>
      </c>
      <c r="G83" s="1362"/>
      <c r="H83" s="1362"/>
      <c r="I83" s="1362">
        <f>I82*$Q$13/1000</f>
        <v>6.7034447999999996E-2</v>
      </c>
      <c r="J83" s="1362"/>
      <c r="K83" s="1362"/>
      <c r="L83" s="682" t="s">
        <v>358</v>
      </c>
      <c r="M83" s="683" t="s">
        <v>124</v>
      </c>
      <c r="N83" s="684">
        <f>0.0043*1000</f>
        <v>4.3</v>
      </c>
      <c r="O83" s="685">
        <f>E82*N83</f>
        <v>24.08</v>
      </c>
      <c r="P83" s="686">
        <v>0.16600000000000001</v>
      </c>
      <c r="Q83" s="687">
        <f>N83*P83*$N$11</f>
        <v>0.82265671278000019</v>
      </c>
      <c r="R83" s="764">
        <f>SUM(Q83:Q83)</f>
        <v>0.82265671278000019</v>
      </c>
      <c r="S83" s="1362"/>
      <c r="T83" s="1362"/>
      <c r="U83" s="1363"/>
      <c r="V83" s="1355"/>
      <c r="W83" s="1357"/>
      <c r="X83" s="678"/>
      <c r="Y83" s="679"/>
      <c r="Z83" s="680"/>
      <c r="AA83" s="680"/>
      <c r="AB83" s="680"/>
      <c r="AC83" s="680"/>
      <c r="AD83" s="680"/>
      <c r="AE83" s="680"/>
      <c r="AF83" s="680"/>
      <c r="AG83" s="680"/>
      <c r="AH83" s="680"/>
      <c r="AI83" s="680"/>
      <c r="AJ83" s="680"/>
      <c r="AK83" s="680"/>
    </row>
    <row r="84" spans="1:37" s="721" customFormat="1" ht="12.75" customHeight="1">
      <c r="A84" s="1133">
        <f>+A82+1</f>
        <v>22</v>
      </c>
      <c r="B84" s="1135" t="s">
        <v>412</v>
      </c>
      <c r="C84" s="1137" t="s">
        <v>414</v>
      </c>
      <c r="D84" s="1140" t="s">
        <v>124</v>
      </c>
      <c r="E84" s="1142">
        <f>0.072*1000</f>
        <v>72</v>
      </c>
      <c r="F84" s="1193">
        <f>34.3/1000</f>
        <v>3.4299999999999997E-2</v>
      </c>
      <c r="G84" s="1194"/>
      <c r="H84" s="1195"/>
      <c r="I84" s="1193">
        <v>1E-3</v>
      </c>
      <c r="J84" s="1194"/>
      <c r="K84" s="1195"/>
      <c r="L84" s="417"/>
      <c r="M84" s="638"/>
      <c r="N84" s="705"/>
      <c r="O84" s="705"/>
      <c r="P84" s="756"/>
      <c r="Q84" s="706"/>
      <c r="R84" s="758">
        <f>F85+I85</f>
        <v>8.3381910000000004E-2</v>
      </c>
      <c r="S84" s="1020">
        <f>R84+R85</f>
        <v>0.63201948572400024</v>
      </c>
      <c r="T84" s="1020">
        <f>E84*S84</f>
        <v>45.505402972128017</v>
      </c>
      <c r="U84" s="1144">
        <f>R85*E84</f>
        <v>39.501905452128014</v>
      </c>
      <c r="V84" s="1137" t="s">
        <v>414</v>
      </c>
      <c r="W84" s="1140" t="s">
        <v>124</v>
      </c>
      <c r="Y84" s="805"/>
      <c r="Z84" s="209"/>
      <c r="AA84" s="805"/>
      <c r="AB84" s="209"/>
      <c r="AC84" s="209"/>
      <c r="AD84" s="209"/>
      <c r="AE84" s="667"/>
      <c r="AF84" s="667"/>
      <c r="AG84" s="667"/>
      <c r="AH84" s="667"/>
      <c r="AI84" s="667"/>
      <c r="AJ84" s="667"/>
      <c r="AK84" s="667"/>
    </row>
    <row r="85" spans="1:37" s="721" customFormat="1" ht="12.75" customHeight="1">
      <c r="A85" s="1134"/>
      <c r="B85" s="1136"/>
      <c r="C85" s="1138"/>
      <c r="D85" s="1141"/>
      <c r="E85" s="1143"/>
      <c r="F85" s="1148">
        <f>F84*J$13/1000</f>
        <v>8.0159099999999997E-2</v>
      </c>
      <c r="G85" s="1148"/>
      <c r="H85" s="1148"/>
      <c r="I85" s="1148">
        <f>I84*$Q$13/1000</f>
        <v>3.22281E-3</v>
      </c>
      <c r="J85" s="1148"/>
      <c r="K85" s="1148"/>
      <c r="L85" s="808" t="s">
        <v>403</v>
      </c>
      <c r="M85" s="250" t="s">
        <v>124</v>
      </c>
      <c r="N85" s="265">
        <v>1</v>
      </c>
      <c r="O85" s="340">
        <f>E84*N85</f>
        <v>72</v>
      </c>
      <c r="P85" s="341">
        <v>0.47499999999999998</v>
      </c>
      <c r="Q85" s="714">
        <f>N85*P85*$N$11</f>
        <v>0.54743897250000018</v>
      </c>
      <c r="R85" s="1020">
        <f>SUM(Q85:Q86)</f>
        <v>0.54863757572400018</v>
      </c>
      <c r="S85" s="1020"/>
      <c r="T85" s="1020"/>
      <c r="U85" s="1144"/>
      <c r="V85" s="1138"/>
      <c r="W85" s="1141"/>
      <c r="Y85" s="805"/>
      <c r="Z85" s="209"/>
      <c r="AA85" s="568" t="s">
        <v>364</v>
      </c>
      <c r="AB85" s="209"/>
      <c r="AC85" s="209"/>
      <c r="AD85" s="209"/>
      <c r="AE85" s="667"/>
      <c r="AF85" s="667"/>
      <c r="AG85" s="667"/>
      <c r="AH85" s="667"/>
      <c r="AI85" s="667"/>
      <c r="AJ85" s="667"/>
      <c r="AK85" s="667"/>
    </row>
    <row r="86" spans="1:37" s="721" customFormat="1" ht="12.75" customHeight="1">
      <c r="A86" s="1134"/>
      <c r="B86" s="1136"/>
      <c r="C86" s="1139"/>
      <c r="D86" s="1141"/>
      <c r="E86" s="1143"/>
      <c r="F86" s="1148"/>
      <c r="G86" s="1148"/>
      <c r="H86" s="1148"/>
      <c r="I86" s="1148"/>
      <c r="J86" s="1148"/>
      <c r="K86" s="1148"/>
      <c r="L86" s="809" t="s">
        <v>190</v>
      </c>
      <c r="M86" s="457" t="s">
        <v>124</v>
      </c>
      <c r="N86" s="802">
        <f>1.04/1000</f>
        <v>1.0400000000000001E-3</v>
      </c>
      <c r="O86" s="256">
        <f>E82*N86</f>
        <v>5.8240000000000002E-3</v>
      </c>
      <c r="P86" s="467">
        <v>1</v>
      </c>
      <c r="Q86" s="258">
        <f>N86*P86*$N$11</f>
        <v>1.1986032240000005E-3</v>
      </c>
      <c r="R86" s="1020"/>
      <c r="S86" s="1020"/>
      <c r="T86" s="1020"/>
      <c r="U86" s="1144"/>
      <c r="V86" s="1139"/>
      <c r="W86" s="1141"/>
      <c r="Y86" s="805"/>
      <c r="Z86" s="209"/>
      <c r="AA86" s="805"/>
      <c r="AB86" s="209"/>
      <c r="AC86" s="209"/>
      <c r="AD86" s="209"/>
      <c r="AE86" s="667"/>
      <c r="AF86" s="667"/>
      <c r="AG86" s="667"/>
      <c r="AH86" s="667"/>
      <c r="AI86" s="667"/>
      <c r="AJ86" s="667"/>
      <c r="AK86" s="667"/>
    </row>
    <row r="87" spans="1:37" s="810" customFormat="1" ht="12">
      <c r="A87" s="1062">
        <f>+A84+1</f>
        <v>23</v>
      </c>
      <c r="B87" s="1064" t="s">
        <v>413</v>
      </c>
      <c r="C87" s="1066" t="s">
        <v>415</v>
      </c>
      <c r="D87" s="1068" t="s">
        <v>124</v>
      </c>
      <c r="E87" s="1069">
        <v>29</v>
      </c>
      <c r="F87" s="1347">
        <f>35.9/1000</f>
        <v>3.5900000000000001E-2</v>
      </c>
      <c r="G87" s="1347"/>
      <c r="H87" s="1347"/>
      <c r="I87" s="1348">
        <f>0.2/1000</f>
        <v>2.0000000000000001E-4</v>
      </c>
      <c r="J87" s="1348"/>
      <c r="K87" s="1348"/>
      <c r="L87" s="673"/>
      <c r="M87" s="674"/>
      <c r="N87" s="675"/>
      <c r="O87" s="676"/>
      <c r="P87" s="676"/>
      <c r="Q87" s="677"/>
      <c r="R87" s="867">
        <f>F88+I88</f>
        <v>8.454286200000001E-2</v>
      </c>
      <c r="S87" s="1071">
        <f>R87+R88</f>
        <v>0.60590068934700025</v>
      </c>
      <c r="T87" s="1071">
        <f>E87*S87</f>
        <v>17.571119991063007</v>
      </c>
      <c r="U87" s="1071">
        <f>R88*E87</f>
        <v>15.119376993063005</v>
      </c>
      <c r="V87" s="1066" t="s">
        <v>415</v>
      </c>
      <c r="W87" s="1068" t="s">
        <v>124</v>
      </c>
      <c r="X87" s="869"/>
      <c r="Y87" s="869"/>
      <c r="Z87" s="869"/>
      <c r="AA87" s="869"/>
      <c r="AB87" s="869"/>
      <c r="AC87" s="869"/>
      <c r="AD87" s="869"/>
      <c r="AE87" s="869"/>
    </row>
    <row r="88" spans="1:37" s="810" customFormat="1" ht="22.5">
      <c r="A88" s="1063"/>
      <c r="B88" s="1065"/>
      <c r="C88" s="1067"/>
      <c r="D88" s="1063"/>
      <c r="E88" s="1070"/>
      <c r="F88" s="1072">
        <f>F87*J$13/1000</f>
        <v>8.3898300000000009E-2</v>
      </c>
      <c r="G88" s="1072"/>
      <c r="H88" s="1072"/>
      <c r="I88" s="1073">
        <f>I87*$Q$13/1000</f>
        <v>6.44562E-4</v>
      </c>
      <c r="J88" s="1073"/>
      <c r="K88" s="1073"/>
      <c r="L88" s="342" t="s">
        <v>347</v>
      </c>
      <c r="M88" s="812" t="s">
        <v>124</v>
      </c>
      <c r="N88" s="813">
        <v>1.0049999999999999</v>
      </c>
      <c r="O88" s="814">
        <f>E87*N88</f>
        <v>29.144999999999996</v>
      </c>
      <c r="P88" s="814">
        <v>0.45</v>
      </c>
      <c r="Q88" s="820">
        <f>N88*P88*$N$11</f>
        <v>0.52121952697500018</v>
      </c>
      <c r="R88" s="1074">
        <f>SUM(Q88:Q89)</f>
        <v>0.5213578273470002</v>
      </c>
      <c r="S88" s="1071"/>
      <c r="T88" s="1071"/>
      <c r="U88" s="1071"/>
      <c r="V88" s="1067"/>
      <c r="W88" s="1063"/>
      <c r="X88" s="869"/>
      <c r="Y88" s="869"/>
      <c r="Z88" s="869"/>
      <c r="AA88" s="869"/>
      <c r="AB88" s="869"/>
      <c r="AC88" s="869"/>
      <c r="AD88" s="869"/>
      <c r="AE88" s="869"/>
    </row>
    <row r="89" spans="1:37" s="810" customFormat="1" ht="12">
      <c r="A89" s="1063"/>
      <c r="B89" s="1065"/>
      <c r="C89" s="1067"/>
      <c r="D89" s="1063"/>
      <c r="E89" s="1070"/>
      <c r="F89" s="1072"/>
      <c r="G89" s="1072"/>
      <c r="H89" s="1072"/>
      <c r="I89" s="1073"/>
      <c r="J89" s="1073"/>
      <c r="K89" s="1073"/>
      <c r="L89" s="815" t="s">
        <v>190</v>
      </c>
      <c r="M89" s="816" t="s">
        <v>124</v>
      </c>
      <c r="N89" s="817">
        <f>0.12/1000</f>
        <v>1.1999999999999999E-4</v>
      </c>
      <c r="O89" s="818">
        <f>E87*N89</f>
        <v>3.4799999999999996E-3</v>
      </c>
      <c r="P89" s="819">
        <v>1</v>
      </c>
      <c r="Q89" s="821">
        <f>N89*P89*$N$11</f>
        <v>1.3830037200000003E-4</v>
      </c>
      <c r="R89" s="1074"/>
      <c r="S89" s="1071"/>
      <c r="T89" s="1071"/>
      <c r="U89" s="1071"/>
      <c r="V89" s="1067"/>
      <c r="W89" s="1063"/>
      <c r="X89" s="869"/>
      <c r="Y89" s="869"/>
      <c r="Z89" s="869"/>
      <c r="AA89" s="869"/>
      <c r="AB89" s="869"/>
      <c r="AC89" s="869"/>
      <c r="AD89" s="869"/>
      <c r="AE89" s="869"/>
    </row>
    <row r="90" spans="1:37" s="721" customFormat="1" ht="12.75" customHeight="1">
      <c r="A90" s="1349">
        <f>+A87+1</f>
        <v>24</v>
      </c>
      <c r="B90" s="1135" t="s">
        <v>362</v>
      </c>
      <c r="C90" s="1137" t="s">
        <v>363</v>
      </c>
      <c r="D90" s="1140" t="s">
        <v>122</v>
      </c>
      <c r="E90" s="1142">
        <v>3.5</v>
      </c>
      <c r="F90" s="1148">
        <v>0.38400000000000001</v>
      </c>
      <c r="G90" s="1148"/>
      <c r="H90" s="1148"/>
      <c r="I90" s="1214">
        <f>0.03/100</f>
        <v>2.9999999999999997E-4</v>
      </c>
      <c r="J90" s="1215"/>
      <c r="K90" s="1216"/>
      <c r="L90" s="417"/>
      <c r="M90" s="638"/>
      <c r="N90" s="705"/>
      <c r="O90" s="705"/>
      <c r="P90" s="756"/>
      <c r="Q90" s="706"/>
      <c r="R90" s="758">
        <f>F91+I91</f>
        <v>0.89837484300000003</v>
      </c>
      <c r="S90" s="1020">
        <f>R90+R91</f>
        <v>1.2786904934721002</v>
      </c>
      <c r="T90" s="1020">
        <f>E90*S90</f>
        <v>4.4754167271523508</v>
      </c>
      <c r="U90" s="1144">
        <f>R91*E90</f>
        <v>1.3311047766523505</v>
      </c>
      <c r="V90" s="1156" t="s">
        <v>409</v>
      </c>
      <c r="W90" s="1159" t="s">
        <v>410</v>
      </c>
      <c r="Y90" s="805"/>
      <c r="Z90" s="209"/>
      <c r="AA90" s="805"/>
      <c r="AB90" s="209"/>
      <c r="AC90" s="209"/>
      <c r="AD90" s="209"/>
      <c r="AE90" s="667"/>
      <c r="AF90" s="667"/>
      <c r="AG90" s="667"/>
      <c r="AH90" s="667"/>
      <c r="AI90" s="667"/>
      <c r="AJ90" s="667"/>
      <c r="AK90" s="667"/>
    </row>
    <row r="91" spans="1:37" s="721" customFormat="1" ht="17.25" customHeight="1">
      <c r="A91" s="1134"/>
      <c r="B91" s="1136"/>
      <c r="C91" s="1138"/>
      <c r="D91" s="1141"/>
      <c r="E91" s="1143"/>
      <c r="F91" s="1148">
        <f>F90*J$13/1000</f>
        <v>0.89740799999999998</v>
      </c>
      <c r="G91" s="1148"/>
      <c r="H91" s="1148"/>
      <c r="I91" s="1148">
        <f>I90*$Q$13/1000</f>
        <v>9.6684299999999989E-4</v>
      </c>
      <c r="J91" s="1148"/>
      <c r="K91" s="1148"/>
      <c r="L91" s="806" t="s">
        <v>130</v>
      </c>
      <c r="M91" s="250" t="s">
        <v>124</v>
      </c>
      <c r="N91" s="712">
        <v>0.246</v>
      </c>
      <c r="O91" s="713">
        <f>E90*N91</f>
        <v>0.86099999999999999</v>
      </c>
      <c r="P91" s="341">
        <v>1.25</v>
      </c>
      <c r="Q91" s="714">
        <f>N91*P91*$N$11</f>
        <v>0.35439470325000011</v>
      </c>
      <c r="R91" s="1020">
        <f>SUM(Q91:Q92)</f>
        <v>0.38031565047210014</v>
      </c>
      <c r="S91" s="1020"/>
      <c r="T91" s="1020"/>
      <c r="U91" s="1144"/>
      <c r="V91" s="1157"/>
      <c r="W91" s="1160"/>
      <c r="Y91" s="805"/>
      <c r="Z91" s="209"/>
      <c r="AA91" s="568" t="s">
        <v>364</v>
      </c>
      <c r="AB91" s="209"/>
      <c r="AC91" s="209"/>
      <c r="AD91" s="209"/>
      <c r="AE91" s="667"/>
      <c r="AF91" s="667"/>
      <c r="AG91" s="667"/>
      <c r="AH91" s="667"/>
      <c r="AI91" s="667"/>
      <c r="AJ91" s="667"/>
      <c r="AK91" s="667"/>
    </row>
    <row r="92" spans="1:37" s="721" customFormat="1" ht="17.25" customHeight="1">
      <c r="A92" s="1134"/>
      <c r="B92" s="1136"/>
      <c r="C92" s="1139"/>
      <c r="D92" s="1141"/>
      <c r="E92" s="1143"/>
      <c r="F92" s="1148"/>
      <c r="G92" s="1148"/>
      <c r="H92" s="1148"/>
      <c r="I92" s="1148"/>
      <c r="J92" s="1148"/>
      <c r="K92" s="1148"/>
      <c r="L92" s="807" t="s">
        <v>365</v>
      </c>
      <c r="M92" s="254" t="s">
        <v>124</v>
      </c>
      <c r="N92" s="715">
        <v>2.7E-2</v>
      </c>
      <c r="O92" s="716">
        <f>E90*N92</f>
        <v>9.4500000000000001E-2</v>
      </c>
      <c r="P92" s="355">
        <v>0.83299999999999996</v>
      </c>
      <c r="Q92" s="717">
        <f>N92*P92*$N$11</f>
        <v>2.5920947222100005E-2</v>
      </c>
      <c r="R92" s="1020"/>
      <c r="S92" s="1020"/>
      <c r="T92" s="1020"/>
      <c r="U92" s="1144"/>
      <c r="V92" s="1158"/>
      <c r="W92" s="1161"/>
      <c r="Y92" s="805"/>
      <c r="Z92" s="209"/>
      <c r="AA92" s="805"/>
      <c r="AB92" s="209"/>
      <c r="AC92" s="209"/>
      <c r="AD92" s="209"/>
      <c r="AE92" s="667"/>
      <c r="AF92" s="667"/>
      <c r="AG92" s="667"/>
      <c r="AH92" s="667"/>
      <c r="AI92" s="667"/>
      <c r="AJ92" s="667"/>
      <c r="AK92" s="667"/>
    </row>
    <row r="93" spans="1:37" s="156" customFormat="1" ht="15" customHeight="1">
      <c r="A93" s="1023">
        <f>+A90+1</f>
        <v>25</v>
      </c>
      <c r="B93" s="1008" t="s">
        <v>360</v>
      </c>
      <c r="C93" s="1011" t="s">
        <v>366</v>
      </c>
      <c r="D93" s="1014" t="s">
        <v>326</v>
      </c>
      <c r="E93" s="1267">
        <v>0.188</v>
      </c>
      <c r="F93" s="1193">
        <v>19.399999999999999</v>
      </c>
      <c r="G93" s="1194"/>
      <c r="H93" s="1195"/>
      <c r="I93" s="1201">
        <v>4</v>
      </c>
      <c r="J93" s="1202"/>
      <c r="K93" s="1203"/>
      <c r="L93" s="673"/>
      <c r="M93" s="674"/>
      <c r="N93" s="675"/>
      <c r="O93" s="676"/>
      <c r="P93" s="676"/>
      <c r="Q93" s="677"/>
      <c r="R93" s="755">
        <f>F94+I94</f>
        <v>58.229039999999998</v>
      </c>
      <c r="S93" s="987">
        <f>R93+R94</f>
        <v>76.80738997200001</v>
      </c>
      <c r="T93" s="1027">
        <f>E93*S93</f>
        <v>14.439789314736002</v>
      </c>
      <c r="U93" s="995">
        <f>R94*E93</f>
        <v>3.4927297947360008</v>
      </c>
      <c r="V93" s="1011" t="s">
        <v>366</v>
      </c>
      <c r="W93" s="1014" t="s">
        <v>326</v>
      </c>
      <c r="X93" s="703"/>
      <c r="Y93" s="239"/>
    </row>
    <row r="94" spans="1:37" s="156" customFormat="1" ht="17.25" customHeight="1">
      <c r="A94" s="1006"/>
      <c r="B94" s="1009"/>
      <c r="C94" s="1012"/>
      <c r="D94" s="1015"/>
      <c r="E94" s="1268"/>
      <c r="F94" s="1164">
        <f>F93*J$13/1000</f>
        <v>45.337799999999994</v>
      </c>
      <c r="G94" s="1165"/>
      <c r="H94" s="1166"/>
      <c r="I94" s="1164">
        <f>I93*$Q$13/1000</f>
        <v>12.89124</v>
      </c>
      <c r="J94" s="1165"/>
      <c r="K94" s="1166"/>
      <c r="L94" s="808"/>
      <c r="M94" s="250"/>
      <c r="N94" s="265"/>
      <c r="O94" s="340"/>
      <c r="P94" s="341"/>
      <c r="Q94" s="714"/>
      <c r="R94" s="987">
        <f>SUM(Q94:Q95)</f>
        <v>18.578349972000005</v>
      </c>
      <c r="S94" s="988"/>
      <c r="T94" s="1027"/>
      <c r="U94" s="995"/>
      <c r="V94" s="1012"/>
      <c r="W94" s="1015"/>
      <c r="X94" s="703"/>
      <c r="Y94" s="239"/>
    </row>
    <row r="95" spans="1:37" s="694" customFormat="1" ht="17.25" customHeight="1">
      <c r="A95" s="1007"/>
      <c r="B95" s="1010"/>
      <c r="C95" s="1013"/>
      <c r="D95" s="1016"/>
      <c r="E95" s="1269"/>
      <c r="F95" s="1225"/>
      <c r="G95" s="1226"/>
      <c r="H95" s="1167"/>
      <c r="I95" s="1225"/>
      <c r="J95" s="1226"/>
      <c r="K95" s="1167"/>
      <c r="L95" s="809" t="s">
        <v>190</v>
      </c>
      <c r="M95" s="457" t="s">
        <v>124</v>
      </c>
      <c r="N95" s="811">
        <v>20</v>
      </c>
      <c r="O95" s="256">
        <f>E93*N95</f>
        <v>3.76</v>
      </c>
      <c r="P95" s="467">
        <v>0.80600000000000005</v>
      </c>
      <c r="Q95" s="258">
        <f>N95*P95*$N$11</f>
        <v>18.578349972000005</v>
      </c>
      <c r="R95" s="989"/>
      <c r="S95" s="989"/>
      <c r="T95" s="1027"/>
      <c r="U95" s="995"/>
      <c r="V95" s="1013"/>
      <c r="W95" s="1016"/>
      <c r="X95" s="692"/>
      <c r="Y95" s="693"/>
      <c r="Z95" s="693"/>
      <c r="AA95" s="693"/>
      <c r="AB95" s="693"/>
      <c r="AC95" s="693"/>
      <c r="AD95" s="693"/>
      <c r="AE95" s="693"/>
      <c r="AF95" s="693"/>
      <c r="AG95" s="693"/>
      <c r="AH95" s="693"/>
      <c r="AI95" s="693"/>
      <c r="AJ95" s="693"/>
      <c r="AK95" s="693"/>
    </row>
    <row r="96" spans="1:37" s="694" customFormat="1" ht="12.75" customHeight="1">
      <c r="A96" s="1000">
        <f>+A90+1</f>
        <v>25</v>
      </c>
      <c r="B96" s="1001" t="s">
        <v>191</v>
      </c>
      <c r="C96" s="965" t="s">
        <v>416</v>
      </c>
      <c r="D96" s="966" t="s">
        <v>116</v>
      </c>
      <c r="E96" s="1003">
        <v>1</v>
      </c>
      <c r="F96" s="967"/>
      <c r="G96" s="967"/>
      <c r="H96" s="967"/>
      <c r="I96" s="1004"/>
      <c r="J96" s="1004"/>
      <c r="K96" s="1004"/>
      <c r="L96" s="267"/>
      <c r="M96" s="638"/>
      <c r="N96" s="756"/>
      <c r="O96" s="756"/>
      <c r="P96" s="268"/>
      <c r="Q96" s="775"/>
      <c r="R96" s="767">
        <f>F97+I97</f>
        <v>0</v>
      </c>
      <c r="S96" s="999">
        <f>R96+R97</f>
        <v>20.073146492700008</v>
      </c>
      <c r="T96" s="999">
        <f>E96*S96</f>
        <v>20.073146492700008</v>
      </c>
      <c r="U96" s="964">
        <f>R97*E96</f>
        <v>20.073146492700008</v>
      </c>
      <c r="V96" s="965" t="s">
        <v>416</v>
      </c>
      <c r="W96" s="966" t="s">
        <v>116</v>
      </c>
      <c r="X96" s="692">
        <f>+W91*X91</f>
        <v>0</v>
      </c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</row>
    <row r="97" spans="1:256" s="694" customFormat="1" ht="12.75" customHeight="1">
      <c r="A97" s="1000"/>
      <c r="B97" s="1002"/>
      <c r="C97" s="965"/>
      <c r="D97" s="966"/>
      <c r="E97" s="1003"/>
      <c r="F97" s="967"/>
      <c r="G97" s="967"/>
      <c r="H97" s="967"/>
      <c r="I97" s="967"/>
      <c r="J97" s="967"/>
      <c r="K97" s="967"/>
      <c r="L97" s="248" t="s">
        <v>253</v>
      </c>
      <c r="M97" s="243" t="s">
        <v>116</v>
      </c>
      <c r="N97" s="244">
        <v>1</v>
      </c>
      <c r="O97" s="247">
        <f>E96*N97</f>
        <v>1</v>
      </c>
      <c r="P97" s="240">
        <v>17.417000000000002</v>
      </c>
      <c r="Q97" s="245">
        <f>N97*P97*$N$11</f>
        <v>20.073146492700008</v>
      </c>
      <c r="R97" s="767">
        <f>SUM(Q97:Q97)</f>
        <v>20.073146492700008</v>
      </c>
      <c r="S97" s="999"/>
      <c r="T97" s="999"/>
      <c r="U97" s="964"/>
      <c r="V97" s="965"/>
      <c r="W97" s="966"/>
      <c r="X97" s="692"/>
      <c r="Y97" s="693"/>
      <c r="Z97" s="693"/>
      <c r="AA97" s="693"/>
      <c r="AB97" s="693"/>
      <c r="AC97" s="693"/>
      <c r="AD97" s="693"/>
      <c r="AE97" s="693"/>
      <c r="AF97" s="693"/>
      <c r="AG97" s="693"/>
      <c r="AH97" s="693"/>
      <c r="AI97" s="693"/>
      <c r="AJ97" s="693"/>
      <c r="AK97" s="693"/>
    </row>
    <row r="98" spans="1:256" s="694" customFormat="1" ht="12.75" customHeight="1">
      <c r="A98" s="1000">
        <f>+A96+1</f>
        <v>26</v>
      </c>
      <c r="B98" s="1001" t="s">
        <v>191</v>
      </c>
      <c r="C98" s="965" t="s">
        <v>417</v>
      </c>
      <c r="D98" s="966" t="s">
        <v>116</v>
      </c>
      <c r="E98" s="1003">
        <v>0.7</v>
      </c>
      <c r="F98" s="967"/>
      <c r="G98" s="967"/>
      <c r="H98" s="967"/>
      <c r="I98" s="1004"/>
      <c r="J98" s="1004"/>
      <c r="K98" s="1004"/>
      <c r="L98" s="267"/>
      <c r="M98" s="638"/>
      <c r="N98" s="756"/>
      <c r="O98" s="756"/>
      <c r="P98" s="268"/>
      <c r="Q98" s="775"/>
      <c r="R98" s="767">
        <f>F99+I99</f>
        <v>0</v>
      </c>
      <c r="S98" s="999">
        <f>R98+R99</f>
        <v>74.371025043000017</v>
      </c>
      <c r="T98" s="999">
        <f>E98*S98</f>
        <v>52.059717530100009</v>
      </c>
      <c r="U98" s="964">
        <f>R99*E98</f>
        <v>52.059717530100009</v>
      </c>
      <c r="V98" s="965" t="s">
        <v>417</v>
      </c>
      <c r="W98" s="966" t="s">
        <v>116</v>
      </c>
      <c r="X98" s="692" t="e">
        <f>+W93*X93</f>
        <v>#VALUE!</v>
      </c>
      <c r="Y98" s="693"/>
      <c r="Z98" s="693"/>
      <c r="AA98" s="693"/>
      <c r="AB98" s="693"/>
      <c r="AC98" s="693"/>
      <c r="AD98" s="693"/>
      <c r="AE98" s="693"/>
      <c r="AF98" s="693"/>
      <c r="AG98" s="693"/>
      <c r="AH98" s="693"/>
      <c r="AI98" s="693"/>
      <c r="AJ98" s="693"/>
      <c r="AK98" s="693"/>
    </row>
    <row r="99" spans="1:256" s="694" customFormat="1" ht="12.75" customHeight="1">
      <c r="A99" s="1000"/>
      <c r="B99" s="1002"/>
      <c r="C99" s="965"/>
      <c r="D99" s="966"/>
      <c r="E99" s="1003"/>
      <c r="F99" s="967"/>
      <c r="G99" s="967"/>
      <c r="H99" s="967"/>
      <c r="I99" s="967"/>
      <c r="J99" s="967"/>
      <c r="K99" s="967"/>
      <c r="L99" s="248" t="s">
        <v>418</v>
      </c>
      <c r="M99" s="243" t="s">
        <v>116</v>
      </c>
      <c r="N99" s="244">
        <v>1</v>
      </c>
      <c r="O99" s="247">
        <f>E98*N99</f>
        <v>0.7</v>
      </c>
      <c r="P99" s="240">
        <f>107.55*0.6</f>
        <v>64.53</v>
      </c>
      <c r="Q99" s="245">
        <f>N99*P99*$N$11</f>
        <v>74.371025043000017</v>
      </c>
      <c r="R99" s="767">
        <f>SUM(Q99:Q99)</f>
        <v>74.371025043000017</v>
      </c>
      <c r="S99" s="999"/>
      <c r="T99" s="999"/>
      <c r="U99" s="964"/>
      <c r="V99" s="965"/>
      <c r="W99" s="966"/>
      <c r="X99" s="692"/>
      <c r="Y99" s="693"/>
      <c r="Z99" s="693"/>
      <c r="AA99" s="693"/>
      <c r="AB99" s="693"/>
      <c r="AC99" s="693"/>
      <c r="AD99" s="693"/>
      <c r="AE99" s="693"/>
      <c r="AF99" s="693"/>
      <c r="AG99" s="693"/>
      <c r="AH99" s="693"/>
      <c r="AI99" s="693"/>
      <c r="AJ99" s="693"/>
      <c r="AK99" s="693"/>
    </row>
    <row r="100" spans="1:256" s="694" customFormat="1" ht="12.75" customHeight="1">
      <c r="A100" s="1000">
        <f>+A98+1</f>
        <v>27</v>
      </c>
      <c r="B100" s="1001" t="s">
        <v>191</v>
      </c>
      <c r="C100" s="965" t="s">
        <v>419</v>
      </c>
      <c r="D100" s="966" t="s">
        <v>124</v>
      </c>
      <c r="E100" s="1003">
        <v>17</v>
      </c>
      <c r="F100" s="967"/>
      <c r="G100" s="967"/>
      <c r="H100" s="967"/>
      <c r="I100" s="1004"/>
      <c r="J100" s="1004"/>
      <c r="K100" s="1004"/>
      <c r="L100" s="267"/>
      <c r="M100" s="638"/>
      <c r="N100" s="756"/>
      <c r="O100" s="756"/>
      <c r="P100" s="268"/>
      <c r="Q100" s="775"/>
      <c r="R100" s="767">
        <f>F101+I101</f>
        <v>0</v>
      </c>
      <c r="S100" s="999">
        <f>R100+R101</f>
        <v>0.74912701500000023</v>
      </c>
      <c r="T100" s="999">
        <f>E100*S100</f>
        <v>12.735159255000005</v>
      </c>
      <c r="U100" s="964">
        <f>R101*E100</f>
        <v>12.735159255000005</v>
      </c>
      <c r="V100" s="965" t="s">
        <v>419</v>
      </c>
      <c r="W100" s="966" t="s">
        <v>124</v>
      </c>
      <c r="X100" s="692">
        <f>+W95*X95</f>
        <v>0</v>
      </c>
      <c r="Y100" s="693"/>
      <c r="Z100" s="693"/>
      <c r="AA100" s="693"/>
      <c r="AB100" s="693"/>
      <c r="AC100" s="693"/>
      <c r="AD100" s="693"/>
      <c r="AE100" s="693"/>
      <c r="AF100" s="693"/>
      <c r="AG100" s="693"/>
      <c r="AH100" s="693"/>
      <c r="AI100" s="693"/>
      <c r="AJ100" s="693"/>
      <c r="AK100" s="693"/>
    </row>
    <row r="101" spans="1:256" s="694" customFormat="1" ht="12.75" customHeight="1" thickBot="1">
      <c r="A101" s="1000"/>
      <c r="B101" s="1002"/>
      <c r="C101" s="965"/>
      <c r="D101" s="966"/>
      <c r="E101" s="1003"/>
      <c r="F101" s="967"/>
      <c r="G101" s="967"/>
      <c r="H101" s="967"/>
      <c r="I101" s="967"/>
      <c r="J101" s="967"/>
      <c r="K101" s="967"/>
      <c r="L101" s="808" t="s">
        <v>420</v>
      </c>
      <c r="M101" s="250" t="s">
        <v>124</v>
      </c>
      <c r="N101" s="265">
        <v>1</v>
      </c>
      <c r="O101" s="340">
        <f>E100*N101</f>
        <v>17</v>
      </c>
      <c r="P101" s="341">
        <v>0.65</v>
      </c>
      <c r="Q101" s="714">
        <f>N101*P101*$N$11</f>
        <v>0.74912701500000023</v>
      </c>
      <c r="R101" s="767">
        <f>SUM(Q101:Q101)</f>
        <v>0.74912701500000023</v>
      </c>
      <c r="S101" s="999"/>
      <c r="T101" s="999"/>
      <c r="U101" s="964"/>
      <c r="V101" s="965"/>
      <c r="W101" s="966"/>
      <c r="X101" s="692"/>
      <c r="Y101" s="693"/>
      <c r="Z101" s="693"/>
      <c r="AA101" s="693"/>
      <c r="AB101" s="693"/>
      <c r="AC101" s="693"/>
      <c r="AD101" s="693"/>
      <c r="AE101" s="693"/>
      <c r="AF101" s="693"/>
      <c r="AG101" s="693"/>
      <c r="AH101" s="693"/>
      <c r="AI101" s="693"/>
      <c r="AJ101" s="693"/>
      <c r="AK101" s="693"/>
    </row>
    <row r="102" spans="1:256" s="564" customFormat="1" ht="14.25" customHeight="1" thickTop="1">
      <c r="B102" s="771"/>
      <c r="C102" s="831" t="s">
        <v>421</v>
      </c>
      <c r="D102" s="664"/>
      <c r="E102" s="664"/>
      <c r="F102" s="778"/>
      <c r="G102" s="665"/>
      <c r="H102" s="665"/>
      <c r="I102" s="665"/>
      <c r="J102" s="665"/>
      <c r="K102" s="665"/>
      <c r="L102" s="849"/>
      <c r="M102" s="665"/>
      <c r="N102" s="665"/>
      <c r="O102" s="665"/>
      <c r="P102" s="665"/>
      <c r="Q102" s="665"/>
      <c r="R102" s="665"/>
      <c r="S102" s="665"/>
      <c r="T102" s="672"/>
      <c r="U102" s="665"/>
      <c r="V102" s="831" t="s">
        <v>421</v>
      </c>
      <c r="W102" s="777"/>
      <c r="X102" s="665"/>
      <c r="Y102" s="666"/>
      <c r="Z102" s="666"/>
      <c r="AA102" s="666"/>
      <c r="AB102" s="666"/>
      <c r="AC102" s="666"/>
      <c r="AD102" s="666"/>
      <c r="AE102" s="666"/>
      <c r="AF102" s="666"/>
      <c r="AG102" s="666"/>
      <c r="AH102" s="666"/>
      <c r="AI102" s="666"/>
      <c r="AJ102" s="666"/>
      <c r="AK102" s="666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563"/>
      <c r="AY102" s="563"/>
      <c r="AZ102" s="563"/>
      <c r="BA102" s="563"/>
      <c r="BB102" s="563"/>
      <c r="BC102" s="563"/>
      <c r="BD102" s="563"/>
      <c r="BE102" s="563"/>
      <c r="BF102" s="563"/>
      <c r="BG102" s="563"/>
      <c r="BH102" s="563"/>
      <c r="BI102" s="563"/>
      <c r="BJ102" s="563"/>
      <c r="BK102" s="563"/>
      <c r="BL102" s="563"/>
      <c r="BM102" s="563"/>
      <c r="BN102" s="563"/>
      <c r="BO102" s="563"/>
      <c r="BP102" s="563"/>
      <c r="BQ102" s="563"/>
      <c r="BR102" s="563"/>
      <c r="BS102" s="563"/>
      <c r="BT102" s="563"/>
      <c r="BU102" s="563"/>
      <c r="BV102" s="563"/>
      <c r="BW102" s="563"/>
      <c r="BX102" s="563"/>
      <c r="BY102" s="563"/>
      <c r="BZ102" s="563"/>
      <c r="CA102" s="563"/>
      <c r="CB102" s="563"/>
      <c r="CC102" s="563"/>
      <c r="CD102" s="563"/>
      <c r="CE102" s="563"/>
      <c r="CF102" s="563"/>
      <c r="CG102" s="563"/>
      <c r="CH102" s="563"/>
      <c r="CI102" s="563"/>
      <c r="CJ102" s="563"/>
      <c r="CK102" s="563"/>
      <c r="CL102" s="563"/>
      <c r="CM102" s="563"/>
      <c r="CN102" s="563"/>
      <c r="CO102" s="563"/>
      <c r="CP102" s="563"/>
      <c r="CQ102" s="563"/>
      <c r="CR102" s="563"/>
      <c r="CS102" s="563"/>
      <c r="CT102" s="563"/>
      <c r="CU102" s="563"/>
      <c r="CV102" s="563"/>
      <c r="CW102" s="563"/>
      <c r="CX102" s="563"/>
      <c r="CY102" s="563"/>
      <c r="CZ102" s="563"/>
      <c r="DA102" s="563"/>
      <c r="DB102" s="563"/>
      <c r="DC102" s="563"/>
      <c r="DD102" s="563"/>
      <c r="DE102" s="563"/>
      <c r="DF102" s="563"/>
      <c r="DG102" s="563"/>
      <c r="DH102" s="563"/>
      <c r="DI102" s="563"/>
      <c r="DJ102" s="563"/>
      <c r="DK102" s="563"/>
      <c r="DL102" s="563"/>
      <c r="DM102" s="563"/>
      <c r="DN102" s="563"/>
      <c r="DO102" s="563"/>
      <c r="DP102" s="563"/>
      <c r="DQ102" s="563"/>
      <c r="DR102" s="563"/>
      <c r="DS102" s="563"/>
      <c r="DT102" s="563"/>
      <c r="DU102" s="563"/>
      <c r="DV102" s="563"/>
      <c r="DW102" s="563"/>
      <c r="DX102" s="563"/>
      <c r="DY102" s="563"/>
      <c r="DZ102" s="563"/>
      <c r="EA102" s="563"/>
      <c r="EB102" s="563"/>
      <c r="EC102" s="563"/>
      <c r="ED102" s="563"/>
      <c r="EE102" s="563"/>
      <c r="EF102" s="563"/>
      <c r="EG102" s="563"/>
      <c r="EH102" s="563"/>
      <c r="EI102" s="563"/>
      <c r="EJ102" s="563"/>
      <c r="EK102" s="563"/>
      <c r="EL102" s="563"/>
      <c r="EM102" s="563"/>
      <c r="EN102" s="563"/>
      <c r="EO102" s="563"/>
      <c r="EP102" s="563"/>
      <c r="EQ102" s="563"/>
      <c r="ER102" s="563"/>
      <c r="ES102" s="563"/>
      <c r="ET102" s="563"/>
      <c r="EU102" s="563"/>
      <c r="EV102" s="563"/>
      <c r="EW102" s="563"/>
      <c r="EX102" s="563"/>
      <c r="EY102" s="563"/>
      <c r="EZ102" s="563"/>
      <c r="FA102" s="563"/>
      <c r="FB102" s="563"/>
      <c r="FC102" s="563"/>
      <c r="FD102" s="563"/>
      <c r="FE102" s="563"/>
      <c r="FF102" s="563"/>
      <c r="FG102" s="563"/>
      <c r="FH102" s="563"/>
      <c r="FI102" s="563"/>
      <c r="FJ102" s="563"/>
      <c r="FK102" s="563"/>
      <c r="FL102" s="563"/>
      <c r="FM102" s="563"/>
      <c r="FN102" s="563"/>
      <c r="FO102" s="563"/>
      <c r="FP102" s="563"/>
      <c r="FQ102" s="563"/>
      <c r="FR102" s="563"/>
      <c r="FS102" s="563"/>
      <c r="FT102" s="563"/>
      <c r="FU102" s="563"/>
      <c r="FV102" s="563"/>
      <c r="FW102" s="563"/>
      <c r="FX102" s="563"/>
      <c r="FY102" s="563"/>
      <c r="FZ102" s="563"/>
      <c r="GA102" s="563"/>
      <c r="GB102" s="563"/>
      <c r="GC102" s="563"/>
      <c r="GD102" s="563"/>
      <c r="GE102" s="563"/>
      <c r="GF102" s="563"/>
      <c r="GG102" s="563"/>
      <c r="GH102" s="563"/>
      <c r="GI102" s="563"/>
      <c r="GJ102" s="563"/>
      <c r="GK102" s="563"/>
      <c r="GL102" s="563"/>
      <c r="GM102" s="563"/>
      <c r="GN102" s="563"/>
      <c r="GO102" s="563"/>
      <c r="GP102" s="563"/>
      <c r="GQ102" s="563"/>
      <c r="GR102" s="563"/>
      <c r="GS102" s="563"/>
      <c r="GT102" s="563"/>
      <c r="GU102" s="563"/>
      <c r="GV102" s="563"/>
      <c r="GW102" s="563"/>
      <c r="GX102" s="563"/>
      <c r="GY102" s="563"/>
      <c r="GZ102" s="563"/>
      <c r="HA102" s="563"/>
      <c r="HB102" s="563"/>
      <c r="HC102" s="563"/>
      <c r="HD102" s="563"/>
      <c r="HE102" s="563"/>
      <c r="HF102" s="563"/>
      <c r="HG102" s="563"/>
      <c r="HH102" s="563"/>
      <c r="HI102" s="563"/>
      <c r="HJ102" s="563"/>
      <c r="HK102" s="563"/>
      <c r="HL102" s="563"/>
      <c r="HM102" s="563"/>
      <c r="HN102" s="563"/>
      <c r="HO102" s="563"/>
      <c r="HP102" s="563"/>
      <c r="HQ102" s="563"/>
      <c r="HR102" s="563"/>
      <c r="HS102" s="563"/>
      <c r="HT102" s="563"/>
      <c r="HU102" s="563"/>
      <c r="HV102" s="563"/>
      <c r="HW102" s="563"/>
      <c r="HX102" s="563"/>
      <c r="HY102" s="563"/>
      <c r="HZ102" s="563"/>
      <c r="IA102" s="563"/>
      <c r="IB102" s="563"/>
      <c r="IC102" s="563"/>
      <c r="ID102" s="563"/>
      <c r="IE102" s="563"/>
      <c r="IF102" s="563"/>
      <c r="IG102" s="563"/>
      <c r="IH102" s="563"/>
      <c r="II102" s="563"/>
      <c r="IJ102" s="563"/>
      <c r="IK102" s="563"/>
      <c r="IL102" s="563"/>
      <c r="IM102" s="563"/>
      <c r="IN102" s="563"/>
      <c r="IO102" s="563"/>
      <c r="IP102" s="563"/>
      <c r="IQ102" s="563"/>
      <c r="IR102" s="563"/>
      <c r="IS102" s="563"/>
      <c r="IT102" s="563"/>
      <c r="IU102" s="563"/>
      <c r="IV102" s="563"/>
    </row>
    <row r="103" spans="1:256" s="335" customFormat="1" ht="21" customHeight="1">
      <c r="A103" s="1005">
        <f>+A100+1</f>
        <v>28</v>
      </c>
      <c r="B103" s="1008" t="s">
        <v>424</v>
      </c>
      <c r="C103" s="1053" t="s">
        <v>523</v>
      </c>
      <c r="D103" s="1014" t="s">
        <v>116</v>
      </c>
      <c r="E103" s="1199">
        <v>8</v>
      </c>
      <c r="F103" s="993">
        <v>0.53</v>
      </c>
      <c r="G103" s="994"/>
      <c r="H103" s="995"/>
      <c r="I103" s="993">
        <v>7.0000000000000007E-2</v>
      </c>
      <c r="J103" s="994"/>
      <c r="K103" s="995"/>
      <c r="L103" s="267"/>
      <c r="M103" s="638"/>
      <c r="N103" s="756"/>
      <c r="O103" s="756"/>
      <c r="P103" s="268"/>
      <c r="Q103" s="775"/>
      <c r="R103" s="755">
        <f>F104+I104</f>
        <v>1.4642067000000003</v>
      </c>
      <c r="S103" s="987">
        <f>R103+R104</f>
        <v>6.0108314295000014</v>
      </c>
      <c r="T103" s="987">
        <f>E103*S103</f>
        <v>48.086651436000011</v>
      </c>
      <c r="U103" s="1017">
        <f>E103*R104</f>
        <v>36.37299783600001</v>
      </c>
      <c r="V103" s="1053" t="s">
        <v>425</v>
      </c>
      <c r="W103" s="1014" t="s">
        <v>116</v>
      </c>
      <c r="X103" s="209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</row>
    <row r="104" spans="1:256" s="335" customFormat="1" ht="21" customHeight="1">
      <c r="A104" s="1007"/>
      <c r="B104" s="1010"/>
      <c r="C104" s="1054"/>
      <c r="D104" s="1016"/>
      <c r="E104" s="1200"/>
      <c r="F104" s="993">
        <f>F103*$J$13/1000</f>
        <v>1.2386100000000002</v>
      </c>
      <c r="G104" s="994"/>
      <c r="H104" s="995"/>
      <c r="I104" s="993">
        <f>I103*$Q$13/1000</f>
        <v>0.22559670000000004</v>
      </c>
      <c r="J104" s="994"/>
      <c r="K104" s="995"/>
      <c r="L104" s="248" t="s">
        <v>422</v>
      </c>
      <c r="M104" s="243" t="s">
        <v>116</v>
      </c>
      <c r="N104" s="244">
        <v>1</v>
      </c>
      <c r="O104" s="247">
        <f>E103*N104</f>
        <v>8</v>
      </c>
      <c r="P104" s="240">
        <v>3.9449999999999998</v>
      </c>
      <c r="Q104" s="245">
        <f>N104*P104*$N$11</f>
        <v>4.5466247295000013</v>
      </c>
      <c r="R104" s="750">
        <f>SUM(Q104:Q104)</f>
        <v>4.5466247295000013</v>
      </c>
      <c r="S104" s="989"/>
      <c r="T104" s="989"/>
      <c r="U104" s="1019"/>
      <c r="V104" s="1054"/>
      <c r="W104" s="1016"/>
      <c r="X104" s="209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</row>
    <row r="105" spans="1:256" s="335" customFormat="1" ht="21" customHeight="1">
      <c r="A105" s="1005">
        <f t="shared" ref="A105" si="4">+A103+1</f>
        <v>29</v>
      </c>
      <c r="B105" s="1008" t="s">
        <v>427</v>
      </c>
      <c r="C105" s="1053" t="s">
        <v>524</v>
      </c>
      <c r="D105" s="1014" t="s">
        <v>116</v>
      </c>
      <c r="E105" s="1199">
        <v>1</v>
      </c>
      <c r="F105" s="993">
        <v>0.27</v>
      </c>
      <c r="G105" s="994"/>
      <c r="H105" s="995"/>
      <c r="I105" s="993">
        <v>0.17</v>
      </c>
      <c r="J105" s="994"/>
      <c r="K105" s="995"/>
      <c r="L105" s="267"/>
      <c r="M105" s="638"/>
      <c r="N105" s="756"/>
      <c r="O105" s="756"/>
      <c r="P105" s="268"/>
      <c r="Q105" s="775"/>
      <c r="R105" s="755">
        <f>F106+I106</f>
        <v>1.1788677000000001</v>
      </c>
      <c r="S105" s="987">
        <f>R105+R106</f>
        <v>4.8864701727000011</v>
      </c>
      <c r="T105" s="987">
        <f>E105*S105</f>
        <v>4.8864701727000011</v>
      </c>
      <c r="U105" s="1017">
        <f>E105*R106</f>
        <v>3.707602472700001</v>
      </c>
      <c r="V105" s="1053" t="s">
        <v>426</v>
      </c>
      <c r="W105" s="1014" t="s">
        <v>116</v>
      </c>
      <c r="X105" s="209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</row>
    <row r="106" spans="1:256" s="335" customFormat="1" ht="21" customHeight="1">
      <c r="A106" s="1007"/>
      <c r="B106" s="1010"/>
      <c r="C106" s="1054"/>
      <c r="D106" s="1016"/>
      <c r="E106" s="1200"/>
      <c r="F106" s="993">
        <f>F105*$J$13/1000</f>
        <v>0.63099000000000005</v>
      </c>
      <c r="G106" s="994"/>
      <c r="H106" s="995"/>
      <c r="I106" s="993">
        <f>I105*$Q$13/1000</f>
        <v>0.54787770000000002</v>
      </c>
      <c r="J106" s="994"/>
      <c r="K106" s="995"/>
      <c r="L106" s="248" t="s">
        <v>423</v>
      </c>
      <c r="M106" s="243" t="s">
        <v>116</v>
      </c>
      <c r="N106" s="244">
        <v>1</v>
      </c>
      <c r="O106" s="247">
        <f>E105*N106</f>
        <v>1</v>
      </c>
      <c r="P106" s="240">
        <v>3.2170000000000001</v>
      </c>
      <c r="Q106" s="245">
        <f>N106*P106*$N$11</f>
        <v>3.707602472700001</v>
      </c>
      <c r="R106" s="750">
        <f>SUM(Q106:Q106)</f>
        <v>3.707602472700001</v>
      </c>
      <c r="S106" s="989"/>
      <c r="T106" s="989"/>
      <c r="U106" s="1019"/>
      <c r="V106" s="1054"/>
      <c r="W106" s="1016"/>
      <c r="X106" s="209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</row>
    <row r="107" spans="1:256" s="156" customFormat="1" ht="21.75" customHeight="1">
      <c r="A107" s="1291">
        <f>+A105+1</f>
        <v>30</v>
      </c>
      <c r="B107" s="1008" t="s">
        <v>148</v>
      </c>
      <c r="C107" s="1011" t="s">
        <v>428</v>
      </c>
      <c r="D107" s="1014" t="s">
        <v>124</v>
      </c>
      <c r="E107" s="1199">
        <v>16</v>
      </c>
      <c r="F107" s="1293">
        <f>0.001*190</f>
        <v>0.19</v>
      </c>
      <c r="G107" s="1294"/>
      <c r="H107" s="1295"/>
      <c r="I107" s="1293">
        <f>0.001*162</f>
        <v>0.16200000000000001</v>
      </c>
      <c r="J107" s="1294"/>
      <c r="K107" s="1295"/>
      <c r="L107" s="779"/>
      <c r="M107" s="638"/>
      <c r="N107" s="756"/>
      <c r="O107" s="756"/>
      <c r="P107" s="756"/>
      <c r="Q107" s="749"/>
      <c r="R107" s="755">
        <f>F108+I108</f>
        <v>0.96612522000000012</v>
      </c>
      <c r="S107" s="987">
        <f>R107+R108</f>
        <v>2.3491289400000004</v>
      </c>
      <c r="T107" s="987">
        <f>E107*S107</f>
        <v>37.586063040000006</v>
      </c>
      <c r="U107" s="1112">
        <f>R108*E107</f>
        <v>22.128059520000004</v>
      </c>
      <c r="V107" s="1011" t="s">
        <v>429</v>
      </c>
      <c r="W107" s="1014" t="s">
        <v>199</v>
      </c>
      <c r="Y107" s="239"/>
      <c r="Z107" s="239"/>
    </row>
    <row r="108" spans="1:256" s="156" customFormat="1" ht="21.75" customHeight="1">
      <c r="A108" s="1292"/>
      <c r="B108" s="1010"/>
      <c r="C108" s="1013"/>
      <c r="D108" s="1016"/>
      <c r="E108" s="1200"/>
      <c r="F108" s="993">
        <f>F107*J$13/1000</f>
        <v>0.44403000000000004</v>
      </c>
      <c r="G108" s="994"/>
      <c r="H108" s="995"/>
      <c r="I108" s="993">
        <f>I107*$Q$13/1000</f>
        <v>0.52209522000000008</v>
      </c>
      <c r="J108" s="994"/>
      <c r="K108" s="995"/>
      <c r="L108" s="337" t="s">
        <v>149</v>
      </c>
      <c r="M108" s="243" t="s">
        <v>124</v>
      </c>
      <c r="N108" s="338">
        <v>1</v>
      </c>
      <c r="O108" s="247">
        <f>E107*N108</f>
        <v>16</v>
      </c>
      <c r="P108" s="240">
        <v>1.2</v>
      </c>
      <c r="Q108" s="245">
        <f>N108*P108*$N$11</f>
        <v>1.3830037200000003</v>
      </c>
      <c r="R108" s="755">
        <f>SUM(Q108:Q108)</f>
        <v>1.3830037200000003</v>
      </c>
      <c r="S108" s="989"/>
      <c r="T108" s="989"/>
      <c r="U108" s="1113"/>
      <c r="V108" s="1013"/>
      <c r="W108" s="1016"/>
      <c r="Y108" s="239"/>
      <c r="Z108" s="239"/>
    </row>
    <row r="109" spans="1:256" s="747" customFormat="1" ht="12.75" customHeight="1">
      <c r="A109" s="1328">
        <f>+A107+1</f>
        <v>31</v>
      </c>
      <c r="B109" s="1329" t="s">
        <v>379</v>
      </c>
      <c r="C109" s="1330" t="s">
        <v>431</v>
      </c>
      <c r="D109" s="1298" t="s">
        <v>124</v>
      </c>
      <c r="E109" s="1332">
        <v>2</v>
      </c>
      <c r="F109" s="1335">
        <f>23.1/1000</f>
        <v>2.3100000000000002E-2</v>
      </c>
      <c r="G109" s="1336"/>
      <c r="H109" s="1337"/>
      <c r="I109" s="1335">
        <f>4.1/1000</f>
        <v>4.0999999999999995E-3</v>
      </c>
      <c r="J109" s="1336"/>
      <c r="K109" s="1337"/>
      <c r="L109" s="833"/>
      <c r="M109" s="834"/>
      <c r="N109" s="835"/>
      <c r="O109" s="835"/>
      <c r="P109" s="835"/>
      <c r="Q109" s="836"/>
      <c r="R109" s="837">
        <f>F110+I110</f>
        <v>6.7198221000000002E-2</v>
      </c>
      <c r="S109" s="1332">
        <f>R109+R110</f>
        <v>0.45697476942000009</v>
      </c>
      <c r="T109" s="1332">
        <f>E109*S109</f>
        <v>0.91394953884000019</v>
      </c>
      <c r="U109" s="1338">
        <f>+R110*E109</f>
        <v>0.77955309684000018</v>
      </c>
      <c r="V109" s="1330" t="s">
        <v>431</v>
      </c>
      <c r="W109" s="1298" t="s">
        <v>124</v>
      </c>
      <c r="X109" s="838"/>
      <c r="Y109" s="838"/>
      <c r="Z109" s="838"/>
      <c r="AA109" s="838"/>
      <c r="AB109" s="838"/>
      <c r="AC109" s="838"/>
      <c r="AD109" s="838"/>
      <c r="AE109" s="838"/>
      <c r="AF109" s="838"/>
      <c r="AG109" s="838"/>
      <c r="AH109" s="838"/>
      <c r="AI109" s="839"/>
      <c r="AJ109" s="840"/>
      <c r="AK109" s="746"/>
      <c r="AL109" s="746"/>
      <c r="AM109" s="746"/>
      <c r="AN109" s="746"/>
      <c r="AO109" s="746"/>
      <c r="AP109" s="746"/>
      <c r="AQ109" s="841"/>
      <c r="AR109" s="841"/>
      <c r="AS109" s="841"/>
      <c r="AT109" s="841"/>
      <c r="AU109" s="841"/>
      <c r="AV109" s="841"/>
      <c r="AW109" s="841"/>
      <c r="AX109" s="746"/>
    </row>
    <row r="110" spans="1:256" s="747" customFormat="1" ht="12.75" customHeight="1">
      <c r="A110" s="1328"/>
      <c r="B110" s="1329"/>
      <c r="C110" s="1330"/>
      <c r="D110" s="1331"/>
      <c r="E110" s="1333"/>
      <c r="F110" s="1341">
        <f>F109*J$13/1000</f>
        <v>5.3984700000000004E-2</v>
      </c>
      <c r="G110" s="1342"/>
      <c r="H110" s="1343"/>
      <c r="I110" s="1341">
        <f>I109*$Q$13/1000</f>
        <v>1.3213520999999999E-2</v>
      </c>
      <c r="J110" s="1342"/>
      <c r="K110" s="1343"/>
      <c r="L110" s="682" t="s">
        <v>398</v>
      </c>
      <c r="M110" s="683" t="s">
        <v>124</v>
      </c>
      <c r="N110" s="684">
        <v>1</v>
      </c>
      <c r="O110" s="685">
        <f>E109*N110</f>
        <v>2</v>
      </c>
      <c r="P110" s="686">
        <v>0.32300000000000001</v>
      </c>
      <c r="Q110" s="687">
        <f>N110*P110*$N$11</f>
        <v>0.3722585013000001</v>
      </c>
      <c r="R110" s="1332">
        <f>SUM(Q110:Q111)</f>
        <v>0.38977654842000009</v>
      </c>
      <c r="S110" s="1333"/>
      <c r="T110" s="1333"/>
      <c r="U110" s="1339"/>
      <c r="V110" s="1330"/>
      <c r="W110" s="1331"/>
      <c r="X110" s="838"/>
      <c r="Y110" s="838"/>
      <c r="Z110" s="838"/>
      <c r="AA110" s="838"/>
      <c r="AB110" s="838"/>
      <c r="AC110" s="838"/>
      <c r="AD110" s="838"/>
      <c r="AE110" s="838"/>
      <c r="AF110" s="838"/>
      <c r="AG110" s="838"/>
      <c r="AH110" s="838"/>
      <c r="AI110" s="839"/>
      <c r="AJ110" s="840"/>
      <c r="AK110" s="746"/>
      <c r="AL110" s="746"/>
      <c r="AM110" s="746"/>
      <c r="AN110" s="746"/>
      <c r="AO110" s="746"/>
      <c r="AP110" s="746"/>
      <c r="AQ110" s="841"/>
      <c r="AR110" s="841"/>
      <c r="AS110" s="841"/>
      <c r="AT110" s="841"/>
      <c r="AU110" s="841"/>
      <c r="AV110" s="841"/>
      <c r="AW110" s="841"/>
      <c r="AX110" s="746"/>
    </row>
    <row r="111" spans="1:256" s="747" customFormat="1" ht="12.75" customHeight="1">
      <c r="A111" s="1328"/>
      <c r="B111" s="1329"/>
      <c r="C111" s="1330"/>
      <c r="D111" s="1299"/>
      <c r="E111" s="1334"/>
      <c r="F111" s="1344"/>
      <c r="G111" s="1345"/>
      <c r="H111" s="1346"/>
      <c r="I111" s="1344"/>
      <c r="J111" s="1345"/>
      <c r="K111" s="1346"/>
      <c r="L111" s="842" t="s">
        <v>430</v>
      </c>
      <c r="M111" s="843" t="s">
        <v>124</v>
      </c>
      <c r="N111" s="844">
        <f>15.2/1000</f>
        <v>1.52E-2</v>
      </c>
      <c r="O111" s="844">
        <f>E109*N111</f>
        <v>3.04E-2</v>
      </c>
      <c r="P111" s="845">
        <v>1</v>
      </c>
      <c r="Q111" s="844">
        <f>N111*P111*$N$11</f>
        <v>1.7518047120000005E-2</v>
      </c>
      <c r="R111" s="1334"/>
      <c r="S111" s="1334"/>
      <c r="T111" s="1334"/>
      <c r="U111" s="1340"/>
      <c r="V111" s="1330"/>
      <c r="W111" s="1299"/>
      <c r="X111" s="838"/>
      <c r="Y111" s="838"/>
      <c r="Z111" s="838"/>
      <c r="AA111" s="838"/>
      <c r="AB111" s="838"/>
      <c r="AC111" s="838"/>
      <c r="AD111" s="838"/>
      <c r="AE111" s="838"/>
      <c r="AF111" s="838"/>
      <c r="AG111" s="838"/>
      <c r="AH111" s="838"/>
      <c r="AI111" s="846"/>
      <c r="AJ111" s="840"/>
      <c r="AK111" s="746"/>
      <c r="AL111" s="746"/>
      <c r="AM111" s="746"/>
      <c r="AN111" s="746"/>
      <c r="AO111" s="746"/>
      <c r="AP111" s="746"/>
      <c r="AQ111" s="841"/>
      <c r="AR111" s="841"/>
      <c r="AS111" s="841"/>
      <c r="AT111" s="841"/>
      <c r="AU111" s="841"/>
      <c r="AV111" s="841"/>
      <c r="AW111" s="841"/>
      <c r="AX111" s="746"/>
    </row>
    <row r="112" spans="1:256" s="711" customFormat="1" ht="12.75" customHeight="1">
      <c r="A112" s="1149">
        <f>+A109+1</f>
        <v>32</v>
      </c>
      <c r="B112" s="1217" t="s">
        <v>432</v>
      </c>
      <c r="C112" s="1218" t="s">
        <v>433</v>
      </c>
      <c r="D112" s="1014" t="s">
        <v>122</v>
      </c>
      <c r="E112" s="987">
        <v>1.2</v>
      </c>
      <c r="F112" s="1193">
        <f>4.1/100</f>
        <v>4.0999999999999995E-2</v>
      </c>
      <c r="G112" s="1194"/>
      <c r="H112" s="1195"/>
      <c r="I112" s="1193">
        <f>0.4/100</f>
        <v>4.0000000000000001E-3</v>
      </c>
      <c r="J112" s="1194"/>
      <c r="K112" s="1195"/>
      <c r="L112" s="417"/>
      <c r="M112" s="638"/>
      <c r="N112" s="705"/>
      <c r="O112" s="705"/>
      <c r="P112" s="705"/>
      <c r="Q112" s="706"/>
      <c r="R112" s="707">
        <f>F113+I113</f>
        <v>0.10870824</v>
      </c>
      <c r="S112" s="1219">
        <f>R112+R113</f>
        <v>0.20514286976000001</v>
      </c>
      <c r="T112" s="1219">
        <f>E112*S112</f>
        <v>0.246171443712</v>
      </c>
      <c r="U112" s="1222">
        <f>+R113*E112</f>
        <v>0.11572155571200003</v>
      </c>
      <c r="V112" s="1218" t="s">
        <v>434</v>
      </c>
      <c r="W112" s="1014" t="s">
        <v>195</v>
      </c>
      <c r="Y112" s="847"/>
      <c r="Z112" s="209"/>
      <c r="AA112" s="847"/>
      <c r="AB112" s="209"/>
      <c r="AC112" s="209"/>
      <c r="AD112" s="209"/>
      <c r="AE112" s="667"/>
      <c r="AF112" s="667"/>
      <c r="AG112" s="667"/>
      <c r="AH112" s="667"/>
      <c r="AI112" s="667"/>
      <c r="AJ112" s="667"/>
      <c r="AK112" s="667"/>
      <c r="AL112" s="710"/>
    </row>
    <row r="113" spans="1:38" s="711" customFormat="1" ht="12.75" customHeight="1">
      <c r="A113" s="1149"/>
      <c r="B113" s="1217"/>
      <c r="C113" s="1218"/>
      <c r="D113" s="1015"/>
      <c r="E113" s="988"/>
      <c r="F113" s="1164">
        <f>F112*J$13/1000</f>
        <v>9.5816999999999999E-2</v>
      </c>
      <c r="G113" s="1165"/>
      <c r="H113" s="1166"/>
      <c r="I113" s="1164">
        <f>I112*$Q$13/1000</f>
        <v>1.289124E-2</v>
      </c>
      <c r="J113" s="1165"/>
      <c r="K113" s="1166"/>
      <c r="L113" s="806" t="s">
        <v>128</v>
      </c>
      <c r="M113" s="250" t="s">
        <v>124</v>
      </c>
      <c r="N113" s="712">
        <v>0.03</v>
      </c>
      <c r="O113" s="713">
        <f>E112*N113</f>
        <v>3.5999999999999997E-2</v>
      </c>
      <c r="P113" s="341">
        <f>0.542*2</f>
        <v>1.0840000000000001</v>
      </c>
      <c r="Q113" s="714">
        <f>N113*P113*$N$11</f>
        <v>3.7479400812000012E-2</v>
      </c>
      <c r="R113" s="1219">
        <f>SUM(Q113:Q114)</f>
        <v>9.6434629760000029E-2</v>
      </c>
      <c r="S113" s="1220"/>
      <c r="T113" s="1220"/>
      <c r="U113" s="1223"/>
      <c r="V113" s="1218"/>
      <c r="W113" s="1015"/>
      <c r="Y113" s="847"/>
      <c r="Z113" s="209"/>
      <c r="AA113" s="847"/>
      <c r="AB113" s="209"/>
      <c r="AC113" s="209"/>
      <c r="AD113" s="209"/>
      <c r="AE113" s="667"/>
      <c r="AF113" s="667"/>
      <c r="AG113" s="667"/>
      <c r="AH113" s="667"/>
      <c r="AI113" s="667"/>
      <c r="AJ113" s="667"/>
      <c r="AK113" s="667"/>
      <c r="AL113" s="710"/>
    </row>
    <row r="114" spans="1:38" s="711" customFormat="1" ht="12.75" customHeight="1">
      <c r="A114" s="1149"/>
      <c r="B114" s="1217"/>
      <c r="C114" s="1218"/>
      <c r="D114" s="1016"/>
      <c r="E114" s="989"/>
      <c r="F114" s="1225"/>
      <c r="G114" s="1226"/>
      <c r="H114" s="1167"/>
      <c r="I114" s="1225"/>
      <c r="J114" s="1226"/>
      <c r="K114" s="1167"/>
      <c r="L114" s="807" t="s">
        <v>435</v>
      </c>
      <c r="M114" s="254" t="s">
        <v>124</v>
      </c>
      <c r="N114" s="715">
        <f>17.2/100</f>
        <v>0.17199999999999999</v>
      </c>
      <c r="O114" s="716">
        <f>E112*N114</f>
        <v>0.20639999999999997</v>
      </c>
      <c r="P114" s="355">
        <f>0.803/2.7</f>
        <v>0.2974074074074074</v>
      </c>
      <c r="Q114" s="717">
        <f>N114*P114*$N$11</f>
        <v>5.895522894800001E-2</v>
      </c>
      <c r="R114" s="1221"/>
      <c r="S114" s="1221"/>
      <c r="T114" s="1221"/>
      <c r="U114" s="1224"/>
      <c r="V114" s="1218"/>
      <c r="W114" s="1016"/>
      <c r="Y114" s="848"/>
      <c r="Z114" s="209"/>
      <c r="AA114" s="848"/>
      <c r="AB114" s="209"/>
      <c r="AC114" s="209"/>
      <c r="AD114" s="209"/>
      <c r="AE114" s="667"/>
      <c r="AF114" s="667"/>
      <c r="AG114" s="667"/>
      <c r="AH114" s="667"/>
      <c r="AI114" s="667"/>
      <c r="AJ114" s="667"/>
      <c r="AK114" s="667"/>
      <c r="AL114" s="710"/>
    </row>
    <row r="115" spans="1:38" s="721" customFormat="1" ht="12.75" customHeight="1">
      <c r="A115" s="1133">
        <f>+A112+1</f>
        <v>33</v>
      </c>
      <c r="B115" s="1135" t="s">
        <v>362</v>
      </c>
      <c r="C115" s="1137" t="s">
        <v>363</v>
      </c>
      <c r="D115" s="1140" t="s">
        <v>122</v>
      </c>
      <c r="E115" s="1142">
        <f>+E112</f>
        <v>1.2</v>
      </c>
      <c r="F115" s="1148">
        <v>0.38400000000000001</v>
      </c>
      <c r="G115" s="1148"/>
      <c r="H115" s="1148"/>
      <c r="I115" s="1214">
        <f>0.03/100</f>
        <v>2.9999999999999997E-4</v>
      </c>
      <c r="J115" s="1215"/>
      <c r="K115" s="1216"/>
      <c r="L115" s="417"/>
      <c r="M115" s="638"/>
      <c r="N115" s="705"/>
      <c r="O115" s="705"/>
      <c r="P115" s="756"/>
      <c r="Q115" s="706"/>
      <c r="R115" s="758">
        <f>F116+I116</f>
        <v>0.89837484300000003</v>
      </c>
      <c r="S115" s="1020">
        <f>R115+R116</f>
        <v>1.2786904934721002</v>
      </c>
      <c r="T115" s="1020">
        <f>E115*S115</f>
        <v>1.5344285921665202</v>
      </c>
      <c r="U115" s="1144">
        <f>R116*E115</f>
        <v>0.45637878056652015</v>
      </c>
      <c r="V115" s="1156" t="s">
        <v>409</v>
      </c>
      <c r="W115" s="1159" t="s">
        <v>410</v>
      </c>
      <c r="Y115" s="805"/>
      <c r="Z115" s="209"/>
      <c r="AA115" s="805"/>
      <c r="AB115" s="209"/>
      <c r="AC115" s="209"/>
      <c r="AD115" s="209"/>
      <c r="AE115" s="667"/>
      <c r="AF115" s="667"/>
      <c r="AG115" s="667"/>
      <c r="AH115" s="667"/>
      <c r="AI115" s="667"/>
      <c r="AJ115" s="667"/>
      <c r="AK115" s="667"/>
    </row>
    <row r="116" spans="1:38" s="721" customFormat="1" ht="12.75" customHeight="1">
      <c r="A116" s="1134"/>
      <c r="B116" s="1136"/>
      <c r="C116" s="1138"/>
      <c r="D116" s="1141"/>
      <c r="E116" s="1143"/>
      <c r="F116" s="1148">
        <f>F115*J$13/1000</f>
        <v>0.89740799999999998</v>
      </c>
      <c r="G116" s="1148"/>
      <c r="H116" s="1148"/>
      <c r="I116" s="1148">
        <f>I115*$Q$13/1000</f>
        <v>9.6684299999999989E-4</v>
      </c>
      <c r="J116" s="1148"/>
      <c r="K116" s="1148"/>
      <c r="L116" s="806" t="s">
        <v>130</v>
      </c>
      <c r="M116" s="250" t="s">
        <v>124</v>
      </c>
      <c r="N116" s="712">
        <v>0.246</v>
      </c>
      <c r="O116" s="713">
        <f>E115*N116</f>
        <v>0.29519999999999996</v>
      </c>
      <c r="P116" s="341">
        <v>1.25</v>
      </c>
      <c r="Q116" s="714">
        <f>N116*P116*$N$11</f>
        <v>0.35439470325000011</v>
      </c>
      <c r="R116" s="1020">
        <f>SUM(Q116:Q117)</f>
        <v>0.38031565047210014</v>
      </c>
      <c r="S116" s="1020"/>
      <c r="T116" s="1020"/>
      <c r="U116" s="1144"/>
      <c r="V116" s="1157"/>
      <c r="W116" s="1160"/>
      <c r="Y116" s="805"/>
      <c r="Z116" s="209"/>
      <c r="AA116" s="568" t="s">
        <v>364</v>
      </c>
      <c r="AB116" s="209"/>
      <c r="AC116" s="209"/>
      <c r="AD116" s="209"/>
      <c r="AE116" s="667"/>
      <c r="AF116" s="667"/>
      <c r="AG116" s="667"/>
      <c r="AH116" s="667"/>
      <c r="AI116" s="667"/>
      <c r="AJ116" s="667"/>
      <c r="AK116" s="667"/>
    </row>
    <row r="117" spans="1:38" s="721" customFormat="1" ht="12.75" customHeight="1">
      <c r="A117" s="1134"/>
      <c r="B117" s="1136"/>
      <c r="C117" s="1139"/>
      <c r="D117" s="1141"/>
      <c r="E117" s="1143"/>
      <c r="F117" s="1148"/>
      <c r="G117" s="1148"/>
      <c r="H117" s="1148"/>
      <c r="I117" s="1148"/>
      <c r="J117" s="1148"/>
      <c r="K117" s="1148"/>
      <c r="L117" s="807" t="s">
        <v>365</v>
      </c>
      <c r="M117" s="254" t="s">
        <v>124</v>
      </c>
      <c r="N117" s="715">
        <v>2.7E-2</v>
      </c>
      <c r="O117" s="716">
        <f>E115*N117</f>
        <v>3.2399999999999998E-2</v>
      </c>
      <c r="P117" s="355">
        <v>0.83299999999999996</v>
      </c>
      <c r="Q117" s="717">
        <f>N117*P117*$N$11</f>
        <v>2.5920947222100005E-2</v>
      </c>
      <c r="R117" s="1020"/>
      <c r="S117" s="1020"/>
      <c r="T117" s="1020"/>
      <c r="U117" s="1144"/>
      <c r="V117" s="1158"/>
      <c r="W117" s="1161"/>
      <c r="Y117" s="805"/>
      <c r="Z117" s="209"/>
      <c r="AA117" s="805"/>
      <c r="AB117" s="209"/>
      <c r="AC117" s="209"/>
      <c r="AD117" s="209"/>
      <c r="AE117" s="667"/>
      <c r="AF117" s="667"/>
      <c r="AG117" s="667"/>
      <c r="AH117" s="667"/>
      <c r="AI117" s="667"/>
      <c r="AJ117" s="667"/>
      <c r="AK117" s="667"/>
    </row>
    <row r="118" spans="1:38" s="405" customFormat="1" ht="12">
      <c r="A118" s="1005">
        <f>+A115+1</f>
        <v>34</v>
      </c>
      <c r="B118" s="1008" t="s">
        <v>436</v>
      </c>
      <c r="C118" s="1011" t="s">
        <v>437</v>
      </c>
      <c r="D118" s="1014" t="s">
        <v>180</v>
      </c>
      <c r="E118" s="987">
        <v>0.02</v>
      </c>
      <c r="F118" s="990">
        <v>2.4500000000000002</v>
      </c>
      <c r="G118" s="991"/>
      <c r="H118" s="992"/>
      <c r="I118" s="993">
        <v>0.37</v>
      </c>
      <c r="J118" s="994"/>
      <c r="K118" s="995"/>
      <c r="L118" s="660"/>
      <c r="M118" s="638"/>
      <c r="N118" s="404"/>
      <c r="O118" s="756"/>
      <c r="P118" s="756"/>
      <c r="Q118" s="749"/>
      <c r="R118" s="755">
        <f>F119+I119</f>
        <v>6.9180897000000012</v>
      </c>
      <c r="S118" s="987">
        <f>R118+R119</f>
        <v>48.797037405890421</v>
      </c>
      <c r="T118" s="987">
        <f>E118*S118</f>
        <v>0.9759407481178084</v>
      </c>
      <c r="U118" s="1017">
        <f t="shared" ref="U118" si="5">E118*R119</f>
        <v>0.83757895411780836</v>
      </c>
      <c r="V118" s="1011" t="s">
        <v>437</v>
      </c>
      <c r="W118" s="1014" t="s">
        <v>180</v>
      </c>
    </row>
    <row r="119" spans="1:38" s="405" customFormat="1" ht="12">
      <c r="A119" s="1006"/>
      <c r="B119" s="1009"/>
      <c r="C119" s="1012"/>
      <c r="D119" s="1015"/>
      <c r="E119" s="988"/>
      <c r="F119" s="1020">
        <f>F118*J$13/1000</f>
        <v>5.7256500000000008</v>
      </c>
      <c r="G119" s="1020"/>
      <c r="H119" s="1020"/>
      <c r="I119" s="1020">
        <f>I118*$Q$13/1000</f>
        <v>1.1924397</v>
      </c>
      <c r="J119" s="1020"/>
      <c r="K119" s="1020"/>
      <c r="L119" s="249" t="s">
        <v>183</v>
      </c>
      <c r="M119" s="250" t="s">
        <v>184</v>
      </c>
      <c r="N119" s="406">
        <v>1.02</v>
      </c>
      <c r="O119" s="252">
        <f>E118*N119</f>
        <v>2.0400000000000001E-2</v>
      </c>
      <c r="P119" s="237">
        <v>28.132999999999999</v>
      </c>
      <c r="Q119" s="253">
        <f>N119*P119*$N$11</f>
        <v>33.071837106546013</v>
      </c>
      <c r="R119" s="987">
        <f>SUM(Q119:Q121)</f>
        <v>41.878947705890418</v>
      </c>
      <c r="S119" s="988"/>
      <c r="T119" s="988"/>
      <c r="U119" s="1018"/>
      <c r="V119" s="1012"/>
      <c r="W119" s="1015"/>
    </row>
    <row r="120" spans="1:38" s="405" customFormat="1" ht="12">
      <c r="A120" s="1006"/>
      <c r="B120" s="1009"/>
      <c r="C120" s="1012"/>
      <c r="D120" s="1015"/>
      <c r="E120" s="988"/>
      <c r="F120" s="1020"/>
      <c r="G120" s="1020"/>
      <c r="H120" s="1020"/>
      <c r="I120" s="1020"/>
      <c r="J120" s="1020"/>
      <c r="K120" s="1020"/>
      <c r="L120" s="259" t="s">
        <v>185</v>
      </c>
      <c r="M120" s="260" t="s">
        <v>186</v>
      </c>
      <c r="N120" s="407">
        <v>1.61</v>
      </c>
      <c r="O120" s="261">
        <f>E118*N120</f>
        <v>3.2199999999999999E-2</v>
      </c>
      <c r="P120" s="237">
        <v>3.5</v>
      </c>
      <c r="Q120" s="412">
        <f>N120*P120*$N$11</f>
        <v>6.4943549685000024</v>
      </c>
      <c r="R120" s="988"/>
      <c r="S120" s="988"/>
      <c r="T120" s="988"/>
      <c r="U120" s="1018"/>
      <c r="V120" s="1012"/>
      <c r="W120" s="1015"/>
    </row>
    <row r="121" spans="1:38" s="405" customFormat="1" ht="13.5" customHeight="1">
      <c r="A121" s="1007"/>
      <c r="B121" s="1010"/>
      <c r="C121" s="1013"/>
      <c r="D121" s="1016"/>
      <c r="E121" s="989"/>
      <c r="F121" s="1020"/>
      <c r="G121" s="1020"/>
      <c r="H121" s="1020"/>
      <c r="I121" s="1020"/>
      <c r="J121" s="1020"/>
      <c r="K121" s="1020"/>
      <c r="L121" s="263" t="s">
        <v>187</v>
      </c>
      <c r="M121" s="254" t="s">
        <v>184</v>
      </c>
      <c r="N121" s="408">
        <v>1.72E-2</v>
      </c>
      <c r="O121" s="256">
        <f>E118*N121</f>
        <v>3.4400000000000001E-4</v>
      </c>
      <c r="P121" s="411">
        <v>116.67</v>
      </c>
      <c r="Q121" s="258">
        <f>N121*P121*$N$11</f>
        <v>2.3127556308444008</v>
      </c>
      <c r="R121" s="989"/>
      <c r="S121" s="989"/>
      <c r="T121" s="989"/>
      <c r="U121" s="1019"/>
      <c r="V121" s="1013"/>
      <c r="W121" s="1016"/>
    </row>
    <row r="122" spans="1:38" s="156" customFormat="1" ht="14.25" customHeight="1">
      <c r="A122" s="1005">
        <f>+A118+1</f>
        <v>35</v>
      </c>
      <c r="B122" s="1008" t="s">
        <v>261</v>
      </c>
      <c r="C122" s="1011" t="s">
        <v>367</v>
      </c>
      <c r="D122" s="1014" t="s">
        <v>124</v>
      </c>
      <c r="E122" s="1267">
        <v>7</v>
      </c>
      <c r="F122" s="1193">
        <v>0.124</v>
      </c>
      <c r="G122" s="1194"/>
      <c r="H122" s="1195"/>
      <c r="I122" s="1201">
        <f>1.4/1000</f>
        <v>1.4E-3</v>
      </c>
      <c r="J122" s="1202"/>
      <c r="K122" s="1203"/>
      <c r="L122" s="339"/>
      <c r="M122" s="638"/>
      <c r="N122" s="756"/>
      <c r="O122" s="748"/>
      <c r="P122" s="756"/>
      <c r="Q122" s="749"/>
      <c r="R122" s="755">
        <f>F123+I123</f>
        <v>0.29429993399999999</v>
      </c>
      <c r="S122" s="987">
        <f>R122+R123</f>
        <v>0.81292632900000017</v>
      </c>
      <c r="T122" s="987">
        <f>E122*S122</f>
        <v>5.6904843030000016</v>
      </c>
      <c r="U122" s="1112">
        <f>R123*E122</f>
        <v>3.6303847650000014</v>
      </c>
      <c r="V122" s="1011" t="s">
        <v>367</v>
      </c>
      <c r="W122" s="1014" t="s">
        <v>124</v>
      </c>
      <c r="X122" s="703"/>
      <c r="Y122" s="239"/>
    </row>
    <row r="123" spans="1:38" s="156" customFormat="1" ht="13.5" customHeight="1">
      <c r="A123" s="1007"/>
      <c r="B123" s="1010"/>
      <c r="C123" s="1013"/>
      <c r="D123" s="1016"/>
      <c r="E123" s="1269"/>
      <c r="F123" s="993">
        <f>F122*J$13/1000</f>
        <v>0.28978799999999999</v>
      </c>
      <c r="G123" s="994"/>
      <c r="H123" s="995"/>
      <c r="I123" s="1193">
        <f>I122*$Q$13/1000</f>
        <v>4.5119340000000004E-3</v>
      </c>
      <c r="J123" s="1194"/>
      <c r="K123" s="1195"/>
      <c r="L123" s="246" t="s">
        <v>347</v>
      </c>
      <c r="M123" s="243" t="s">
        <v>124</v>
      </c>
      <c r="N123" s="338">
        <v>1</v>
      </c>
      <c r="O123" s="244">
        <f>E122*N123</f>
        <v>7</v>
      </c>
      <c r="P123" s="243">
        <v>0.45</v>
      </c>
      <c r="Q123" s="245">
        <f>N123*P123*$N$11</f>
        <v>0.51862639500000018</v>
      </c>
      <c r="R123" s="750">
        <f>SUM(Q123:Q123)</f>
        <v>0.51862639500000018</v>
      </c>
      <c r="S123" s="989"/>
      <c r="T123" s="989"/>
      <c r="U123" s="1113"/>
      <c r="V123" s="1013"/>
      <c r="W123" s="1016"/>
      <c r="X123" s="703"/>
      <c r="Y123" s="239"/>
    </row>
    <row r="124" spans="1:38" s="711" customFormat="1" ht="12.75" customHeight="1">
      <c r="A124" s="1149">
        <f>+A122+1</f>
        <v>36</v>
      </c>
      <c r="B124" s="1217" t="s">
        <v>432</v>
      </c>
      <c r="C124" s="1218" t="s">
        <v>433</v>
      </c>
      <c r="D124" s="1014" t="s">
        <v>122</v>
      </c>
      <c r="E124" s="987">
        <v>4</v>
      </c>
      <c r="F124" s="1193">
        <f>4.1/100</f>
        <v>4.0999999999999995E-2</v>
      </c>
      <c r="G124" s="1194"/>
      <c r="H124" s="1195"/>
      <c r="I124" s="1193">
        <f>0.4/100</f>
        <v>4.0000000000000001E-3</v>
      </c>
      <c r="J124" s="1194"/>
      <c r="K124" s="1195"/>
      <c r="L124" s="417"/>
      <c r="M124" s="638"/>
      <c r="N124" s="705"/>
      <c r="O124" s="705"/>
      <c r="P124" s="705"/>
      <c r="Q124" s="706"/>
      <c r="R124" s="707">
        <f>F125+I125</f>
        <v>0.10870824</v>
      </c>
      <c r="S124" s="1219">
        <f>R124+R125</f>
        <v>0.20514286976000001</v>
      </c>
      <c r="T124" s="1219">
        <f>E124*S124</f>
        <v>0.82057147904000005</v>
      </c>
      <c r="U124" s="1222">
        <f>+R125*E124</f>
        <v>0.38573851904000012</v>
      </c>
      <c r="V124" s="1218" t="s">
        <v>434</v>
      </c>
      <c r="W124" s="1014" t="s">
        <v>195</v>
      </c>
      <c r="Y124" s="847"/>
      <c r="Z124" s="209"/>
      <c r="AA124" s="847"/>
      <c r="AB124" s="209"/>
      <c r="AC124" s="209"/>
      <c r="AD124" s="209"/>
      <c r="AE124" s="667"/>
      <c r="AF124" s="667"/>
      <c r="AG124" s="667"/>
      <c r="AH124" s="667"/>
      <c r="AI124" s="667"/>
      <c r="AJ124" s="667"/>
      <c r="AK124" s="667"/>
      <c r="AL124" s="710"/>
    </row>
    <row r="125" spans="1:38" s="711" customFormat="1" ht="12.75" customHeight="1">
      <c r="A125" s="1149"/>
      <c r="B125" s="1217"/>
      <c r="C125" s="1218"/>
      <c r="D125" s="1015"/>
      <c r="E125" s="988"/>
      <c r="F125" s="1164">
        <f>F124*J$13/1000</f>
        <v>9.5816999999999999E-2</v>
      </c>
      <c r="G125" s="1165"/>
      <c r="H125" s="1166"/>
      <c r="I125" s="1164">
        <f>I124*$Q$13/1000</f>
        <v>1.289124E-2</v>
      </c>
      <c r="J125" s="1165"/>
      <c r="K125" s="1166"/>
      <c r="L125" s="806" t="s">
        <v>128</v>
      </c>
      <c r="M125" s="250" t="s">
        <v>124</v>
      </c>
      <c r="N125" s="712">
        <v>0.03</v>
      </c>
      <c r="O125" s="713">
        <f>E124*N125</f>
        <v>0.12</v>
      </c>
      <c r="P125" s="341">
        <f>0.542*2</f>
        <v>1.0840000000000001</v>
      </c>
      <c r="Q125" s="714">
        <f>N125*P125*$N$11</f>
        <v>3.7479400812000012E-2</v>
      </c>
      <c r="R125" s="1219">
        <f>SUM(Q125:Q126)</f>
        <v>9.6434629760000029E-2</v>
      </c>
      <c r="S125" s="1220"/>
      <c r="T125" s="1220"/>
      <c r="U125" s="1223"/>
      <c r="V125" s="1218"/>
      <c r="W125" s="1015"/>
      <c r="Y125" s="847"/>
      <c r="Z125" s="209"/>
      <c r="AA125" s="847"/>
      <c r="AB125" s="209"/>
      <c r="AC125" s="209"/>
      <c r="AD125" s="209"/>
      <c r="AE125" s="667"/>
      <c r="AF125" s="667"/>
      <c r="AG125" s="667"/>
      <c r="AH125" s="667"/>
      <c r="AI125" s="667"/>
      <c r="AJ125" s="667"/>
      <c r="AK125" s="667"/>
      <c r="AL125" s="710"/>
    </row>
    <row r="126" spans="1:38" s="711" customFormat="1" ht="12.75" customHeight="1">
      <c r="A126" s="1149"/>
      <c r="B126" s="1217"/>
      <c r="C126" s="1218"/>
      <c r="D126" s="1016"/>
      <c r="E126" s="989"/>
      <c r="F126" s="1225"/>
      <c r="G126" s="1226"/>
      <c r="H126" s="1167"/>
      <c r="I126" s="1225"/>
      <c r="J126" s="1226"/>
      <c r="K126" s="1167"/>
      <c r="L126" s="807" t="s">
        <v>435</v>
      </c>
      <c r="M126" s="254" t="s">
        <v>124</v>
      </c>
      <c r="N126" s="715">
        <f>17.2/100</f>
        <v>0.17199999999999999</v>
      </c>
      <c r="O126" s="716">
        <f>E124*N126</f>
        <v>0.68799999999999994</v>
      </c>
      <c r="P126" s="355">
        <f>0.803/2.7</f>
        <v>0.2974074074074074</v>
      </c>
      <c r="Q126" s="717">
        <f>N126*P126*$N$11</f>
        <v>5.895522894800001E-2</v>
      </c>
      <c r="R126" s="1221"/>
      <c r="S126" s="1221"/>
      <c r="T126" s="1221"/>
      <c r="U126" s="1224"/>
      <c r="V126" s="1218"/>
      <c r="W126" s="1016"/>
      <c r="Y126" s="848"/>
      <c r="Z126" s="209"/>
      <c r="AA126" s="848"/>
      <c r="AB126" s="209"/>
      <c r="AC126" s="209"/>
      <c r="AD126" s="209"/>
      <c r="AE126" s="667"/>
      <c r="AF126" s="667"/>
      <c r="AG126" s="667"/>
      <c r="AH126" s="667"/>
      <c r="AI126" s="667"/>
      <c r="AJ126" s="667"/>
      <c r="AK126" s="667"/>
      <c r="AL126" s="710"/>
    </row>
    <row r="127" spans="1:38" s="721" customFormat="1" ht="12.75" customHeight="1">
      <c r="A127" s="1133">
        <f>+A124+1</f>
        <v>37</v>
      </c>
      <c r="B127" s="1135" t="s">
        <v>362</v>
      </c>
      <c r="C127" s="1137" t="s">
        <v>363</v>
      </c>
      <c r="D127" s="1140" t="s">
        <v>122</v>
      </c>
      <c r="E127" s="1142">
        <f>+E124</f>
        <v>4</v>
      </c>
      <c r="F127" s="1148">
        <v>0.38400000000000001</v>
      </c>
      <c r="G127" s="1148"/>
      <c r="H127" s="1148"/>
      <c r="I127" s="1214">
        <f>0.03/100</f>
        <v>2.9999999999999997E-4</v>
      </c>
      <c r="J127" s="1215"/>
      <c r="K127" s="1216"/>
      <c r="L127" s="417"/>
      <c r="M127" s="638"/>
      <c r="N127" s="705"/>
      <c r="O127" s="705"/>
      <c r="P127" s="756"/>
      <c r="Q127" s="706"/>
      <c r="R127" s="758">
        <f>F128+I128</f>
        <v>0.89837484300000003</v>
      </c>
      <c r="S127" s="1020">
        <f>R127+R128</f>
        <v>1.2786904934721002</v>
      </c>
      <c r="T127" s="1020">
        <f>E127*S127</f>
        <v>5.1147619738884007</v>
      </c>
      <c r="U127" s="1144">
        <f>R128*E127</f>
        <v>1.5212626018884006</v>
      </c>
      <c r="V127" s="1156" t="s">
        <v>409</v>
      </c>
      <c r="W127" s="1159" t="s">
        <v>410</v>
      </c>
      <c r="Y127" s="805"/>
      <c r="Z127" s="209"/>
      <c r="AA127" s="805"/>
      <c r="AB127" s="209"/>
      <c r="AC127" s="209"/>
      <c r="AD127" s="209"/>
      <c r="AE127" s="667"/>
      <c r="AF127" s="667"/>
      <c r="AG127" s="667"/>
      <c r="AH127" s="667"/>
      <c r="AI127" s="667"/>
      <c r="AJ127" s="667"/>
      <c r="AK127" s="667"/>
    </row>
    <row r="128" spans="1:38" s="721" customFormat="1" ht="12.75" customHeight="1">
      <c r="A128" s="1134"/>
      <c r="B128" s="1136"/>
      <c r="C128" s="1138"/>
      <c r="D128" s="1141"/>
      <c r="E128" s="1143"/>
      <c r="F128" s="1148">
        <f>F127*J$13/1000</f>
        <v>0.89740799999999998</v>
      </c>
      <c r="G128" s="1148"/>
      <c r="H128" s="1148"/>
      <c r="I128" s="1148">
        <f>I127*$Q$13/1000</f>
        <v>9.6684299999999989E-4</v>
      </c>
      <c r="J128" s="1148"/>
      <c r="K128" s="1148"/>
      <c r="L128" s="806" t="s">
        <v>130</v>
      </c>
      <c r="M128" s="250" t="s">
        <v>124</v>
      </c>
      <c r="N128" s="712">
        <v>0.246</v>
      </c>
      <c r="O128" s="713">
        <f>E127*N128</f>
        <v>0.98399999999999999</v>
      </c>
      <c r="P128" s="341">
        <v>1.25</v>
      </c>
      <c r="Q128" s="714">
        <f>N128*P128*$N$11</f>
        <v>0.35439470325000011</v>
      </c>
      <c r="R128" s="1020">
        <f>SUM(Q128:Q129)</f>
        <v>0.38031565047210014</v>
      </c>
      <c r="S128" s="1020"/>
      <c r="T128" s="1020"/>
      <c r="U128" s="1144"/>
      <c r="V128" s="1157"/>
      <c r="W128" s="1160"/>
      <c r="Y128" s="805"/>
      <c r="Z128" s="209"/>
      <c r="AA128" s="568" t="s">
        <v>364</v>
      </c>
      <c r="AB128" s="209"/>
      <c r="AC128" s="209"/>
      <c r="AD128" s="209"/>
      <c r="AE128" s="667"/>
      <c r="AF128" s="667"/>
      <c r="AG128" s="667"/>
      <c r="AH128" s="667"/>
      <c r="AI128" s="667"/>
      <c r="AJ128" s="667"/>
      <c r="AK128" s="667"/>
    </row>
    <row r="129" spans="1:256" s="721" customFormat="1" ht="12.75" customHeight="1">
      <c r="A129" s="1210"/>
      <c r="B129" s="1211"/>
      <c r="C129" s="1139"/>
      <c r="D129" s="1212"/>
      <c r="E129" s="1213"/>
      <c r="F129" s="1148"/>
      <c r="G129" s="1148"/>
      <c r="H129" s="1148"/>
      <c r="I129" s="1148"/>
      <c r="J129" s="1148"/>
      <c r="K129" s="1148"/>
      <c r="L129" s="807" t="s">
        <v>365</v>
      </c>
      <c r="M129" s="254" t="s">
        <v>124</v>
      </c>
      <c r="N129" s="715">
        <v>2.7E-2</v>
      </c>
      <c r="O129" s="716">
        <f>E127*N129</f>
        <v>0.108</v>
      </c>
      <c r="P129" s="355">
        <v>0.83299999999999996</v>
      </c>
      <c r="Q129" s="717">
        <f>N129*P129*$N$11</f>
        <v>2.5920947222100005E-2</v>
      </c>
      <c r="R129" s="1020"/>
      <c r="S129" s="1020"/>
      <c r="T129" s="1020"/>
      <c r="U129" s="1144"/>
      <c r="V129" s="1158"/>
      <c r="W129" s="1161"/>
      <c r="Y129" s="805"/>
      <c r="Z129" s="209"/>
      <c r="AA129" s="805"/>
      <c r="AB129" s="209"/>
      <c r="AC129" s="209"/>
      <c r="AD129" s="209"/>
      <c r="AE129" s="667"/>
      <c r="AF129" s="667"/>
      <c r="AG129" s="667"/>
      <c r="AH129" s="667"/>
      <c r="AI129" s="667"/>
      <c r="AJ129" s="667"/>
      <c r="AK129" s="667"/>
    </row>
    <row r="130" spans="1:256" s="564" customFormat="1" ht="14.25" customHeight="1">
      <c r="B130" s="771"/>
      <c r="C130" s="831" t="s">
        <v>438</v>
      </c>
      <c r="D130" s="664"/>
      <c r="E130" s="664"/>
      <c r="F130" s="778"/>
      <c r="G130" s="665"/>
      <c r="H130" s="665"/>
      <c r="I130" s="665"/>
      <c r="J130" s="665"/>
      <c r="K130" s="665"/>
      <c r="L130" s="671"/>
      <c r="M130" s="665"/>
      <c r="N130" s="665"/>
      <c r="O130" s="665"/>
      <c r="P130" s="665"/>
      <c r="Q130" s="665"/>
      <c r="R130" s="665"/>
      <c r="S130" s="665"/>
      <c r="T130" s="672"/>
      <c r="U130" s="665"/>
      <c r="V130" s="831" t="s">
        <v>438</v>
      </c>
      <c r="W130" s="664"/>
      <c r="X130" s="665"/>
      <c r="Y130" s="666"/>
      <c r="Z130" s="666"/>
      <c r="AA130" s="666"/>
      <c r="AB130" s="666"/>
      <c r="AC130" s="666"/>
      <c r="AD130" s="666"/>
      <c r="AE130" s="666"/>
      <c r="AF130" s="666"/>
      <c r="AG130" s="666"/>
      <c r="AH130" s="666"/>
      <c r="AI130" s="666"/>
      <c r="AJ130" s="666"/>
      <c r="AK130" s="666"/>
      <c r="AL130" s="563"/>
      <c r="AM130" s="563"/>
      <c r="AN130" s="563"/>
      <c r="AO130" s="563"/>
      <c r="AP130" s="563"/>
      <c r="AQ130" s="563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  <c r="IR130" s="563"/>
      <c r="IS130" s="563"/>
      <c r="IT130" s="563"/>
      <c r="IU130" s="563"/>
      <c r="IV130" s="563"/>
    </row>
    <row r="131" spans="1:256" s="242" customFormat="1" ht="15" customHeight="1">
      <c r="A131" s="1095">
        <f>+A127+1</f>
        <v>38</v>
      </c>
      <c r="B131" s="1097" t="s">
        <v>339</v>
      </c>
      <c r="C131" s="1099" t="s">
        <v>439</v>
      </c>
      <c r="D131" s="1101" t="s">
        <v>180</v>
      </c>
      <c r="E131" s="1101">
        <v>8</v>
      </c>
      <c r="F131" s="1052"/>
      <c r="G131" s="1052"/>
      <c r="H131" s="1052"/>
      <c r="I131" s="1052"/>
      <c r="J131" s="1052"/>
      <c r="K131" s="1052"/>
      <c r="L131" s="387"/>
      <c r="M131" s="661"/>
      <c r="N131" s="661"/>
      <c r="O131" s="661"/>
      <c r="P131" s="662"/>
      <c r="Q131" s="389"/>
      <c r="R131" s="1044">
        <f>F132+I132</f>
        <v>7.15</v>
      </c>
      <c r="S131" s="1044">
        <f>R131+R132</f>
        <v>7.15</v>
      </c>
      <c r="T131" s="1044">
        <f>E131*S131</f>
        <v>57.2</v>
      </c>
      <c r="U131" s="1105"/>
      <c r="V131" s="1326" t="s">
        <v>440</v>
      </c>
      <c r="W131" s="1050" t="s">
        <v>201</v>
      </c>
    </row>
    <row r="132" spans="1:256" s="242" customFormat="1" ht="25.5" customHeight="1">
      <c r="A132" s="1096"/>
      <c r="B132" s="1098"/>
      <c r="C132" s="1100"/>
      <c r="D132" s="1102"/>
      <c r="E132" s="1102"/>
      <c r="F132" s="1052">
        <f>F131*$J$13/1000</f>
        <v>0</v>
      </c>
      <c r="G132" s="1052"/>
      <c r="H132" s="1052"/>
      <c r="I132" s="1052">
        <v>7.15</v>
      </c>
      <c r="J132" s="1052"/>
      <c r="K132" s="1052"/>
      <c r="L132" s="390"/>
      <c r="M132" s="509"/>
      <c r="N132" s="509"/>
      <c r="O132" s="509"/>
      <c r="P132" s="391"/>
      <c r="Q132" s="392"/>
      <c r="R132" s="1045"/>
      <c r="S132" s="1045"/>
      <c r="T132" s="1045"/>
      <c r="U132" s="1106"/>
      <c r="V132" s="1327"/>
      <c r="W132" s="1051"/>
    </row>
    <row r="133" spans="1:256" s="242" customFormat="1" ht="12.75" customHeight="1">
      <c r="A133" s="1095">
        <f>+A131+1</f>
        <v>39</v>
      </c>
      <c r="B133" s="1097" t="s">
        <v>343</v>
      </c>
      <c r="C133" s="1099" t="s">
        <v>441</v>
      </c>
      <c r="D133" s="1101" t="s">
        <v>180</v>
      </c>
      <c r="E133" s="1101">
        <v>8</v>
      </c>
      <c r="F133" s="1052">
        <f>0.001*16.8</f>
        <v>1.6800000000000002E-2</v>
      </c>
      <c r="G133" s="1052"/>
      <c r="H133" s="1052"/>
      <c r="I133" s="1052">
        <f>0.001*355.2</f>
        <v>0.35520000000000002</v>
      </c>
      <c r="J133" s="1052"/>
      <c r="K133" s="1052"/>
      <c r="L133" s="387"/>
      <c r="M133" s="661"/>
      <c r="N133" s="661"/>
      <c r="O133" s="661"/>
      <c r="P133" s="662"/>
      <c r="Q133" s="389"/>
      <c r="R133" s="1044">
        <f>F134+I134</f>
        <v>1.184003712</v>
      </c>
      <c r="S133" s="1044">
        <f>R133+R134</f>
        <v>1.184003712</v>
      </c>
      <c r="T133" s="1044">
        <f>E133*S133</f>
        <v>9.4720296959999999</v>
      </c>
      <c r="U133" s="1105"/>
      <c r="V133" s="1093" t="s">
        <v>386</v>
      </c>
      <c r="W133" s="1050" t="s">
        <v>201</v>
      </c>
    </row>
    <row r="134" spans="1:256" s="242" customFormat="1" ht="12.75" customHeight="1">
      <c r="A134" s="1096"/>
      <c r="B134" s="1098"/>
      <c r="C134" s="1100"/>
      <c r="D134" s="1102"/>
      <c r="E134" s="1103"/>
      <c r="F134" s="1052">
        <f>F133*$J$13/1000</f>
        <v>3.9261600000000008E-2</v>
      </c>
      <c r="G134" s="1052"/>
      <c r="H134" s="1052"/>
      <c r="I134" s="1052">
        <f>I133*$Q$13/1000</f>
        <v>1.1447421120000001</v>
      </c>
      <c r="J134" s="1052"/>
      <c r="K134" s="1052"/>
      <c r="L134" s="390"/>
      <c r="M134" s="509"/>
      <c r="N134" s="509"/>
      <c r="O134" s="509"/>
      <c r="P134" s="391"/>
      <c r="Q134" s="392"/>
      <c r="R134" s="1104"/>
      <c r="S134" s="1045"/>
      <c r="T134" s="1045"/>
      <c r="U134" s="1106"/>
      <c r="V134" s="1094"/>
      <c r="W134" s="1051"/>
    </row>
    <row r="135" spans="1:256" s="242" customFormat="1" ht="12.75" customHeight="1">
      <c r="A135" s="1095">
        <f>+A133+1</f>
        <v>40</v>
      </c>
      <c r="B135" s="1097" t="s">
        <v>327</v>
      </c>
      <c r="C135" s="1108" t="s">
        <v>337</v>
      </c>
      <c r="D135" s="1101" t="s">
        <v>180</v>
      </c>
      <c r="E135" s="1101">
        <v>14</v>
      </c>
      <c r="F135" s="1052">
        <f>0.001*10.6</f>
        <v>1.06E-2</v>
      </c>
      <c r="G135" s="1052"/>
      <c r="H135" s="1052"/>
      <c r="I135" s="1052">
        <f>0.001*224.4</f>
        <v>0.22440000000000002</v>
      </c>
      <c r="J135" s="1052"/>
      <c r="K135" s="1052"/>
      <c r="L135" s="387"/>
      <c r="M135" s="661"/>
      <c r="N135" s="661"/>
      <c r="O135" s="661"/>
      <c r="P135" s="662"/>
      <c r="Q135" s="389"/>
      <c r="R135" s="1044">
        <f>F136+I136</f>
        <v>0.74797076400000007</v>
      </c>
      <c r="S135" s="1044">
        <f>R135+R136</f>
        <v>0.74797076400000007</v>
      </c>
      <c r="T135" s="1044">
        <f>E135*S135</f>
        <v>10.471590696000002</v>
      </c>
      <c r="U135" s="1105"/>
      <c r="V135" s="1093" t="s">
        <v>285</v>
      </c>
      <c r="W135" s="1050" t="s">
        <v>201</v>
      </c>
    </row>
    <row r="136" spans="1:256" s="242" customFormat="1" ht="12.75" customHeight="1">
      <c r="A136" s="1096"/>
      <c r="B136" s="1098"/>
      <c r="C136" s="1109"/>
      <c r="D136" s="1102"/>
      <c r="E136" s="1103"/>
      <c r="F136" s="1052">
        <f>F135*$J$13/1000</f>
        <v>2.4772200000000001E-2</v>
      </c>
      <c r="G136" s="1052"/>
      <c r="H136" s="1052"/>
      <c r="I136" s="1052">
        <f>I135*$Q$13/1000</f>
        <v>0.72319856400000004</v>
      </c>
      <c r="J136" s="1052"/>
      <c r="K136" s="1052"/>
      <c r="L136" s="390"/>
      <c r="M136" s="509"/>
      <c r="N136" s="509"/>
      <c r="O136" s="509"/>
      <c r="P136" s="391"/>
      <c r="Q136" s="392"/>
      <c r="R136" s="1104"/>
      <c r="S136" s="1045"/>
      <c r="T136" s="1045"/>
      <c r="U136" s="1106"/>
      <c r="V136" s="1094"/>
      <c r="W136" s="1051"/>
    </row>
    <row r="137" spans="1:256" s="463" customFormat="1" ht="21.75" customHeight="1">
      <c r="A137" s="1095">
        <f t="shared" ref="A137" si="6">+A135+1</f>
        <v>41</v>
      </c>
      <c r="B137" s="1097" t="s">
        <v>230</v>
      </c>
      <c r="C137" s="1108" t="s">
        <v>442</v>
      </c>
      <c r="D137" s="1101" t="s">
        <v>180</v>
      </c>
      <c r="E137" s="1321">
        <v>2</v>
      </c>
      <c r="F137" s="1318">
        <v>0.89</v>
      </c>
      <c r="G137" s="1319"/>
      <c r="H137" s="1320"/>
      <c r="I137" s="1318"/>
      <c r="J137" s="1319"/>
      <c r="K137" s="1320"/>
      <c r="L137" s="510"/>
      <c r="M137" s="633"/>
      <c r="N137" s="475"/>
      <c r="O137" s="475"/>
      <c r="P137" s="511"/>
      <c r="Q137" s="512"/>
      <c r="R137" s="476">
        <f>F138+I138</f>
        <v>2.0799300000000001</v>
      </c>
      <c r="S137" s="1044">
        <f>R137+R138</f>
        <v>4.6154368200000011</v>
      </c>
      <c r="T137" s="1044">
        <f>E137*S137</f>
        <v>9.2308736400000022</v>
      </c>
      <c r="U137" s="1316">
        <f>E137*Q138</f>
        <v>5.0710136400000021</v>
      </c>
      <c r="V137" s="1108" t="s">
        <v>338</v>
      </c>
      <c r="W137" s="1101" t="s">
        <v>201</v>
      </c>
      <c r="AA137" s="574"/>
      <c r="AB137" s="158"/>
      <c r="AC137" s="208"/>
      <c r="AD137" s="208"/>
      <c r="AE137" s="208"/>
      <c r="AF137" s="208"/>
      <c r="AG137" s="208"/>
      <c r="AH137" s="208"/>
      <c r="AI137" s="208"/>
      <c r="AJ137" s="208"/>
      <c r="AK137" s="241"/>
      <c r="AL137" s="241"/>
      <c r="AM137" s="241"/>
      <c r="AN137" s="241"/>
    </row>
    <row r="138" spans="1:256" s="463" customFormat="1" ht="21.75" customHeight="1">
      <c r="A138" s="1107"/>
      <c r="B138" s="1098"/>
      <c r="C138" s="1109"/>
      <c r="D138" s="1102"/>
      <c r="E138" s="1322"/>
      <c r="F138" s="1318">
        <f>F137*$J$13/1000</f>
        <v>2.0799300000000001</v>
      </c>
      <c r="G138" s="1319"/>
      <c r="H138" s="1320"/>
      <c r="I138" s="1323">
        <f>I137*$Q$13/1000</f>
        <v>0</v>
      </c>
      <c r="J138" s="1324"/>
      <c r="K138" s="1325"/>
      <c r="L138" s="513" t="s">
        <v>231</v>
      </c>
      <c r="M138" s="471" t="s">
        <v>180</v>
      </c>
      <c r="N138" s="472">
        <v>1.1000000000000001</v>
      </c>
      <c r="O138" s="514">
        <f>E137*N138</f>
        <v>2.2000000000000002</v>
      </c>
      <c r="P138" s="464">
        <v>2</v>
      </c>
      <c r="Q138" s="245">
        <f>N138*P138*$N$11</f>
        <v>2.535506820000001</v>
      </c>
      <c r="R138" s="476">
        <f>SUM(Q138:Q138)</f>
        <v>2.535506820000001</v>
      </c>
      <c r="S138" s="1045"/>
      <c r="T138" s="1045"/>
      <c r="U138" s="1317"/>
      <c r="V138" s="1109"/>
      <c r="W138" s="1102"/>
      <c r="AA138" s="574"/>
      <c r="AB138" s="158"/>
      <c r="AC138" s="208"/>
      <c r="AD138" s="208"/>
      <c r="AE138" s="208"/>
      <c r="AF138" s="208"/>
      <c r="AG138" s="208"/>
      <c r="AH138" s="208"/>
      <c r="AI138" s="208"/>
      <c r="AJ138" s="208"/>
      <c r="AK138" s="241"/>
      <c r="AL138" s="241"/>
      <c r="AM138" s="241"/>
      <c r="AN138" s="241"/>
    </row>
    <row r="139" spans="1:256" s="242" customFormat="1" ht="14.25" customHeight="1">
      <c r="A139" s="1095">
        <f>+A137+1</f>
        <v>42</v>
      </c>
      <c r="B139" s="1097" t="s">
        <v>443</v>
      </c>
      <c r="C139" s="1099" t="s">
        <v>445</v>
      </c>
      <c r="D139" s="1101" t="s">
        <v>180</v>
      </c>
      <c r="E139" s="1101">
        <v>5</v>
      </c>
      <c r="F139" s="1052"/>
      <c r="G139" s="1052"/>
      <c r="H139" s="1052"/>
      <c r="I139" s="1052">
        <f>0.001*20.3</f>
        <v>2.0300000000000002E-2</v>
      </c>
      <c r="J139" s="1052"/>
      <c r="K139" s="1052"/>
      <c r="L139" s="510"/>
      <c r="M139" s="633"/>
      <c r="N139" s="475"/>
      <c r="O139" s="475"/>
      <c r="P139" s="511"/>
      <c r="Q139" s="512"/>
      <c r="R139" s="476">
        <f>F140+I140</f>
        <v>6.5423043E-2</v>
      </c>
      <c r="S139" s="1044">
        <f>R139+R140</f>
        <v>2.6009298630000011</v>
      </c>
      <c r="T139" s="1044">
        <f>E139*S139</f>
        <v>13.004649315000005</v>
      </c>
      <c r="U139" s="1316">
        <f>E139*Q140</f>
        <v>12.677534100000006</v>
      </c>
      <c r="V139" s="1048" t="s">
        <v>444</v>
      </c>
      <c r="W139" s="1050" t="s">
        <v>201</v>
      </c>
    </row>
    <row r="140" spans="1:256" s="242" customFormat="1" ht="17.25" customHeight="1">
      <c r="A140" s="1107"/>
      <c r="B140" s="1098"/>
      <c r="C140" s="1100"/>
      <c r="D140" s="1102"/>
      <c r="E140" s="1102"/>
      <c r="F140" s="1052"/>
      <c r="G140" s="1052"/>
      <c r="H140" s="1052"/>
      <c r="I140" s="1052">
        <f>I139*$Q$13/1000</f>
        <v>6.5423043E-2</v>
      </c>
      <c r="J140" s="1052"/>
      <c r="K140" s="1052"/>
      <c r="L140" s="513" t="s">
        <v>231</v>
      </c>
      <c r="M140" s="471" t="s">
        <v>180</v>
      </c>
      <c r="N140" s="472">
        <v>1.1000000000000001</v>
      </c>
      <c r="O140" s="514">
        <f>E139*N140</f>
        <v>5.5</v>
      </c>
      <c r="P140" s="464">
        <v>2</v>
      </c>
      <c r="Q140" s="245">
        <f>N140*P140*$N$11</f>
        <v>2.535506820000001</v>
      </c>
      <c r="R140" s="476">
        <f>SUM(Q140:Q140)</f>
        <v>2.535506820000001</v>
      </c>
      <c r="S140" s="1045"/>
      <c r="T140" s="1045"/>
      <c r="U140" s="1317"/>
      <c r="V140" s="1049"/>
      <c r="W140" s="1051"/>
    </row>
    <row r="141" spans="1:256" s="242" customFormat="1" ht="12.75" customHeight="1">
      <c r="A141" s="1095">
        <f>+A139+1</f>
        <v>43</v>
      </c>
      <c r="B141" s="1097" t="s">
        <v>332</v>
      </c>
      <c r="C141" s="1108" t="s">
        <v>342</v>
      </c>
      <c r="D141" s="1101" t="s">
        <v>180</v>
      </c>
      <c r="E141" s="1101">
        <v>15</v>
      </c>
      <c r="F141" s="1052"/>
      <c r="G141" s="1052"/>
      <c r="H141" s="1052"/>
      <c r="I141" s="1052">
        <f>0.001*25</f>
        <v>2.5000000000000001E-2</v>
      </c>
      <c r="J141" s="1052"/>
      <c r="K141" s="1052"/>
      <c r="L141" s="393"/>
      <c r="M141" s="394"/>
      <c r="N141" s="395"/>
      <c r="O141" s="395"/>
      <c r="P141" s="396"/>
      <c r="Q141" s="397"/>
      <c r="R141" s="1044">
        <f>F142+I142</f>
        <v>8.0570249999999996E-2</v>
      </c>
      <c r="S141" s="1044">
        <f>R141+R142</f>
        <v>8.0570249999999996E-2</v>
      </c>
      <c r="T141" s="1044">
        <f>E141*S141</f>
        <v>1.2085537499999999</v>
      </c>
      <c r="U141" s="1046"/>
      <c r="V141" s="1048" t="s">
        <v>341</v>
      </c>
      <c r="W141" s="1050" t="s">
        <v>201</v>
      </c>
    </row>
    <row r="142" spans="1:256" s="242" customFormat="1" ht="12.75" customHeight="1">
      <c r="A142" s="1107"/>
      <c r="B142" s="1098"/>
      <c r="C142" s="1109"/>
      <c r="D142" s="1102"/>
      <c r="E142" s="1102"/>
      <c r="F142" s="1052"/>
      <c r="G142" s="1052"/>
      <c r="H142" s="1052"/>
      <c r="I142" s="1052">
        <f>I141*$Q$13/1000</f>
        <v>8.0570249999999996E-2</v>
      </c>
      <c r="J142" s="1052"/>
      <c r="K142" s="1052"/>
      <c r="L142" s="390"/>
      <c r="M142" s="401"/>
      <c r="N142" s="402"/>
      <c r="O142" s="402"/>
      <c r="P142" s="391"/>
      <c r="Q142" s="403"/>
      <c r="R142" s="1045"/>
      <c r="S142" s="1045"/>
      <c r="T142" s="1045"/>
      <c r="U142" s="1047"/>
      <c r="V142" s="1049"/>
      <c r="W142" s="1051"/>
    </row>
    <row r="143" spans="1:256" s="242" customFormat="1" ht="21.75" customHeight="1">
      <c r="A143" s="1300">
        <f t="shared" ref="A143" si="7">+A141+1</f>
        <v>44</v>
      </c>
      <c r="B143" s="1097" t="s">
        <v>446</v>
      </c>
      <c r="C143" s="1099" t="s">
        <v>448</v>
      </c>
      <c r="D143" s="1101" t="s">
        <v>180</v>
      </c>
      <c r="E143" s="1101">
        <v>7</v>
      </c>
      <c r="F143" s="1304"/>
      <c r="G143" s="1304"/>
      <c r="H143" s="1304"/>
      <c r="I143" s="1305">
        <f>140/1000</f>
        <v>0.14000000000000001</v>
      </c>
      <c r="J143" s="1306"/>
      <c r="K143" s="1307"/>
      <c r="L143" s="387"/>
      <c r="M143" s="661"/>
      <c r="N143" s="661"/>
      <c r="O143" s="661"/>
      <c r="P143" s="662"/>
      <c r="Q143" s="389"/>
      <c r="R143" s="1044">
        <f>F144+I144</f>
        <v>0.45119340000000008</v>
      </c>
      <c r="S143" s="1044">
        <f>R143+R144</f>
        <v>0.45119340000000008</v>
      </c>
      <c r="T143" s="1044">
        <f>E143*S143</f>
        <v>3.1583538000000004</v>
      </c>
      <c r="U143" s="1105"/>
      <c r="V143" s="1308" t="s">
        <v>447</v>
      </c>
      <c r="W143" s="1310" t="s">
        <v>340</v>
      </c>
      <c r="Y143" s="851"/>
      <c r="Z143" s="851"/>
      <c r="AA143" s="174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852"/>
      <c r="AP143" s="852"/>
      <c r="AQ143" s="852"/>
      <c r="AR143" s="852"/>
      <c r="AS143" s="852"/>
      <c r="AT143" s="852"/>
      <c r="AU143" s="852"/>
      <c r="AV143" s="852"/>
      <c r="AW143" s="852"/>
    </row>
    <row r="144" spans="1:256" s="242" customFormat="1" ht="21.75" customHeight="1">
      <c r="A144" s="1301"/>
      <c r="B144" s="1302"/>
      <c r="C144" s="1303"/>
      <c r="D144" s="1102"/>
      <c r="E144" s="1102"/>
      <c r="F144" s="1312">
        <f>F143*$J$13/1000</f>
        <v>0</v>
      </c>
      <c r="G144" s="1312"/>
      <c r="H144" s="1312"/>
      <c r="I144" s="1313">
        <f>I143*$Q$13/1000</f>
        <v>0.45119340000000008</v>
      </c>
      <c r="J144" s="1314"/>
      <c r="K144" s="1315"/>
      <c r="L144" s="390"/>
      <c r="M144" s="509"/>
      <c r="N144" s="509"/>
      <c r="O144" s="509"/>
      <c r="P144" s="391"/>
      <c r="Q144" s="392"/>
      <c r="R144" s="1045"/>
      <c r="S144" s="1045"/>
      <c r="T144" s="1045"/>
      <c r="U144" s="1185"/>
      <c r="V144" s="1309"/>
      <c r="W144" s="1311"/>
      <c r="Y144" s="851"/>
      <c r="Z144" s="851"/>
      <c r="AA144" s="174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853"/>
      <c r="AP144" s="853"/>
      <c r="AQ144" s="853"/>
      <c r="AR144" s="853"/>
      <c r="AS144" s="853"/>
      <c r="AT144" s="853"/>
      <c r="AU144" s="853"/>
      <c r="AV144" s="853"/>
      <c r="AW144" s="853"/>
    </row>
    <row r="145" spans="1:256" s="242" customFormat="1" ht="14.25" customHeight="1">
      <c r="A145" s="1095">
        <f>+A143+1</f>
        <v>45</v>
      </c>
      <c r="B145" s="1097" t="s">
        <v>449</v>
      </c>
      <c r="C145" s="1099" t="s">
        <v>451</v>
      </c>
      <c r="D145" s="1101" t="s">
        <v>180</v>
      </c>
      <c r="E145" s="1101">
        <v>0.5</v>
      </c>
      <c r="F145" s="1052">
        <v>1.67</v>
      </c>
      <c r="G145" s="1052"/>
      <c r="H145" s="1052"/>
      <c r="I145" s="1052"/>
      <c r="J145" s="1052"/>
      <c r="K145" s="1052"/>
      <c r="L145" s="510"/>
      <c r="M145" s="633"/>
      <c r="N145" s="475"/>
      <c r="O145" s="475"/>
      <c r="P145" s="511"/>
      <c r="Q145" s="512"/>
      <c r="R145" s="476">
        <f>F146+I146</f>
        <v>3.90279</v>
      </c>
      <c r="S145" s="1044">
        <f>R145+R146</f>
        <v>9.3771797250000013</v>
      </c>
      <c r="T145" s="1044">
        <f>E145*S145</f>
        <v>4.6885898625000006</v>
      </c>
      <c r="U145" s="1316">
        <f>E145*Q146</f>
        <v>2.7371948625000009</v>
      </c>
      <c r="V145" s="1048" t="s">
        <v>444</v>
      </c>
      <c r="W145" s="1050" t="s">
        <v>201</v>
      </c>
    </row>
    <row r="146" spans="1:256" s="420" customFormat="1" ht="17.25" customHeight="1" thickBot="1">
      <c r="A146" s="1107"/>
      <c r="B146" s="1098"/>
      <c r="C146" s="1100"/>
      <c r="D146" s="1102"/>
      <c r="E146" s="1102"/>
      <c r="F146" s="1318">
        <f>F145*$J$13/1000</f>
        <v>3.90279</v>
      </c>
      <c r="G146" s="1319"/>
      <c r="H146" s="1320"/>
      <c r="I146" s="1052">
        <f>I145*$Q$13/1000</f>
        <v>0</v>
      </c>
      <c r="J146" s="1052"/>
      <c r="K146" s="1052"/>
      <c r="L146" s="513" t="s">
        <v>450</v>
      </c>
      <c r="M146" s="471" t="s">
        <v>180</v>
      </c>
      <c r="N146" s="472">
        <v>1.25</v>
      </c>
      <c r="O146" s="514">
        <f>E145*N146</f>
        <v>0.625</v>
      </c>
      <c r="P146" s="464">
        <v>3.8</v>
      </c>
      <c r="Q146" s="245">
        <f>N146*P146*$N$11</f>
        <v>5.4743897250000018</v>
      </c>
      <c r="R146" s="476">
        <f>SUM(Q146:Q146)</f>
        <v>5.4743897250000018</v>
      </c>
      <c r="S146" s="1045"/>
      <c r="T146" s="1045"/>
      <c r="U146" s="1317"/>
      <c r="V146" s="1049"/>
      <c r="W146" s="1051"/>
      <c r="X146" s="242"/>
      <c r="Y146" s="242"/>
      <c r="Z146" s="242"/>
      <c r="AA146" s="242"/>
      <c r="AB146" s="242"/>
      <c r="AC146" s="242"/>
      <c r="AD146" s="242"/>
      <c r="AE146" s="242"/>
    </row>
    <row r="147" spans="1:256" s="564" customFormat="1" ht="14.25" customHeight="1" thickTop="1">
      <c r="B147" s="771"/>
      <c r="C147" s="831" t="s">
        <v>330</v>
      </c>
      <c r="D147" s="664"/>
      <c r="E147" s="664"/>
      <c r="F147" s="778"/>
      <c r="G147" s="665"/>
      <c r="H147" s="665"/>
      <c r="I147" s="665"/>
      <c r="J147" s="665"/>
      <c r="K147" s="665"/>
      <c r="L147" s="849"/>
      <c r="M147" s="665"/>
      <c r="N147" s="665"/>
      <c r="O147" s="665"/>
      <c r="P147" s="665"/>
      <c r="Q147" s="665"/>
      <c r="R147" s="665"/>
      <c r="S147" s="665"/>
      <c r="T147" s="672"/>
      <c r="U147" s="665"/>
      <c r="V147" s="831" t="s">
        <v>421</v>
      </c>
      <c r="W147" s="777"/>
      <c r="X147" s="665"/>
      <c r="Y147" s="666"/>
      <c r="Z147" s="666"/>
      <c r="AA147" s="666"/>
      <c r="AB147" s="666"/>
      <c r="AC147" s="666"/>
      <c r="AD147" s="666"/>
      <c r="AE147" s="666"/>
      <c r="AF147" s="666"/>
      <c r="AG147" s="666"/>
      <c r="AH147" s="666"/>
      <c r="AI147" s="666"/>
      <c r="AJ147" s="666"/>
      <c r="AK147" s="666"/>
      <c r="AL147" s="563"/>
      <c r="AM147" s="563"/>
      <c r="AN147" s="563"/>
      <c r="AO147" s="563"/>
      <c r="AP147" s="563"/>
      <c r="AQ147" s="563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  <c r="BY147" s="563"/>
      <c r="BZ147" s="563"/>
      <c r="CA147" s="563"/>
      <c r="CB147" s="563"/>
      <c r="CC147" s="563"/>
      <c r="CD147" s="563"/>
      <c r="CE147" s="563"/>
      <c r="CF147" s="563"/>
      <c r="CG147" s="563"/>
      <c r="CH147" s="563"/>
      <c r="CI147" s="563"/>
      <c r="CJ147" s="563"/>
      <c r="CK147" s="563"/>
      <c r="CL147" s="563"/>
      <c r="CM147" s="563"/>
      <c r="CN147" s="563"/>
      <c r="CO147" s="563"/>
      <c r="CP147" s="563"/>
      <c r="CQ147" s="563"/>
      <c r="CR147" s="563"/>
      <c r="CS147" s="563"/>
      <c r="CT147" s="563"/>
      <c r="CU147" s="563"/>
      <c r="CV147" s="563"/>
      <c r="CW147" s="563"/>
      <c r="CX147" s="563"/>
      <c r="CY147" s="563"/>
      <c r="CZ147" s="563"/>
      <c r="DA147" s="563"/>
      <c r="DB147" s="563"/>
      <c r="DC147" s="563"/>
      <c r="DD147" s="563"/>
      <c r="DE147" s="563"/>
      <c r="DF147" s="563"/>
      <c r="DG147" s="563"/>
      <c r="DH147" s="563"/>
      <c r="DI147" s="563"/>
      <c r="DJ147" s="563"/>
      <c r="DK147" s="563"/>
      <c r="DL147" s="563"/>
      <c r="DM147" s="563"/>
      <c r="DN147" s="563"/>
      <c r="DO147" s="563"/>
      <c r="DP147" s="563"/>
      <c r="DQ147" s="563"/>
      <c r="DR147" s="563"/>
      <c r="DS147" s="563"/>
      <c r="DT147" s="563"/>
      <c r="DU147" s="563"/>
      <c r="DV147" s="563"/>
      <c r="DW147" s="563"/>
      <c r="DX147" s="563"/>
      <c r="DY147" s="563"/>
      <c r="DZ147" s="563"/>
      <c r="EA147" s="563"/>
      <c r="EB147" s="563"/>
      <c r="EC147" s="563"/>
      <c r="ED147" s="563"/>
      <c r="EE147" s="563"/>
      <c r="EF147" s="563"/>
      <c r="EG147" s="563"/>
      <c r="EH147" s="563"/>
      <c r="EI147" s="563"/>
      <c r="EJ147" s="563"/>
      <c r="EK147" s="563"/>
      <c r="EL147" s="563"/>
      <c r="EM147" s="563"/>
      <c r="EN147" s="563"/>
      <c r="EO147" s="563"/>
      <c r="EP147" s="563"/>
      <c r="EQ147" s="563"/>
      <c r="ER147" s="563"/>
      <c r="ES147" s="563"/>
      <c r="ET147" s="563"/>
      <c r="EU147" s="563"/>
      <c r="EV147" s="563"/>
      <c r="EW147" s="563"/>
      <c r="EX147" s="563"/>
      <c r="EY147" s="563"/>
      <c r="EZ147" s="563"/>
      <c r="FA147" s="563"/>
      <c r="FB147" s="563"/>
      <c r="FC147" s="563"/>
      <c r="FD147" s="563"/>
      <c r="FE147" s="563"/>
      <c r="FF147" s="563"/>
      <c r="FG147" s="563"/>
      <c r="FH147" s="563"/>
      <c r="FI147" s="563"/>
      <c r="FJ147" s="563"/>
      <c r="FK147" s="563"/>
      <c r="FL147" s="563"/>
      <c r="FM147" s="563"/>
      <c r="FN147" s="563"/>
      <c r="FO147" s="563"/>
      <c r="FP147" s="563"/>
      <c r="FQ147" s="563"/>
      <c r="FR147" s="563"/>
      <c r="FS147" s="563"/>
      <c r="FT147" s="563"/>
      <c r="FU147" s="563"/>
      <c r="FV147" s="563"/>
      <c r="FW147" s="563"/>
      <c r="FX147" s="563"/>
      <c r="FY147" s="563"/>
      <c r="FZ147" s="563"/>
      <c r="GA147" s="563"/>
      <c r="GB147" s="563"/>
      <c r="GC147" s="563"/>
      <c r="GD147" s="563"/>
      <c r="GE147" s="563"/>
      <c r="GF147" s="563"/>
      <c r="GG147" s="563"/>
      <c r="GH147" s="563"/>
      <c r="GI147" s="563"/>
      <c r="GJ147" s="563"/>
      <c r="GK147" s="563"/>
      <c r="GL147" s="563"/>
      <c r="GM147" s="563"/>
      <c r="GN147" s="563"/>
      <c r="GO147" s="563"/>
      <c r="GP147" s="563"/>
      <c r="GQ147" s="563"/>
      <c r="GR147" s="563"/>
      <c r="GS147" s="563"/>
      <c r="GT147" s="563"/>
      <c r="GU147" s="563"/>
      <c r="GV147" s="563"/>
      <c r="GW147" s="563"/>
      <c r="GX147" s="563"/>
      <c r="GY147" s="563"/>
      <c r="GZ147" s="563"/>
      <c r="HA147" s="563"/>
      <c r="HB147" s="563"/>
      <c r="HC147" s="563"/>
      <c r="HD147" s="563"/>
      <c r="HE147" s="563"/>
      <c r="HF147" s="563"/>
      <c r="HG147" s="563"/>
      <c r="HH147" s="563"/>
      <c r="HI147" s="563"/>
      <c r="HJ147" s="563"/>
      <c r="HK147" s="563"/>
      <c r="HL147" s="563"/>
      <c r="HM147" s="563"/>
      <c r="HN147" s="563"/>
      <c r="HO147" s="563"/>
      <c r="HP147" s="563"/>
      <c r="HQ147" s="563"/>
      <c r="HR147" s="563"/>
      <c r="HS147" s="563"/>
      <c r="HT147" s="563"/>
      <c r="HU147" s="563"/>
      <c r="HV147" s="563"/>
      <c r="HW147" s="563"/>
      <c r="HX147" s="563"/>
      <c r="HY147" s="563"/>
      <c r="HZ147" s="563"/>
      <c r="IA147" s="563"/>
      <c r="IB147" s="563"/>
      <c r="IC147" s="563"/>
      <c r="ID147" s="563"/>
      <c r="IE147" s="563"/>
      <c r="IF147" s="563"/>
      <c r="IG147" s="563"/>
      <c r="IH147" s="563"/>
      <c r="II147" s="563"/>
      <c r="IJ147" s="563"/>
      <c r="IK147" s="563"/>
      <c r="IL147" s="563"/>
      <c r="IM147" s="563"/>
      <c r="IN147" s="563"/>
      <c r="IO147" s="563"/>
      <c r="IP147" s="563"/>
      <c r="IQ147" s="563"/>
      <c r="IR147" s="563"/>
      <c r="IS147" s="563"/>
      <c r="IT147" s="563"/>
      <c r="IU147" s="563"/>
      <c r="IV147" s="563"/>
    </row>
    <row r="148" spans="1:256" s="854" customFormat="1">
      <c r="A148" s="1005">
        <f>+A145+1</f>
        <v>46</v>
      </c>
      <c r="B148" s="1008" t="s">
        <v>374</v>
      </c>
      <c r="C148" s="1053" t="s">
        <v>452</v>
      </c>
      <c r="D148" s="1014" t="s">
        <v>116</v>
      </c>
      <c r="E148" s="1055">
        <v>14</v>
      </c>
      <c r="F148" s="993">
        <v>0.22</v>
      </c>
      <c r="G148" s="994"/>
      <c r="H148" s="995"/>
      <c r="I148" s="993">
        <v>0.04</v>
      </c>
      <c r="J148" s="994"/>
      <c r="K148" s="995"/>
      <c r="L148" s="267"/>
      <c r="M148" s="638"/>
      <c r="N148" s="756"/>
      <c r="O148" s="756"/>
      <c r="P148" s="268"/>
      <c r="Q148" s="775"/>
      <c r="R148" s="755">
        <f>F149+I149</f>
        <v>0.64305239999999997</v>
      </c>
      <c r="S148" s="987">
        <f>R148+R149</f>
        <v>5.1896771295000015</v>
      </c>
      <c r="T148" s="987">
        <f>E148*S148</f>
        <v>72.655479813000028</v>
      </c>
      <c r="U148" s="1017">
        <f>E148*R149</f>
        <v>63.652746213000015</v>
      </c>
      <c r="V148" s="155"/>
      <c r="W148" s="208"/>
      <c r="X148" s="239"/>
      <c r="Y148" s="239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744"/>
    </row>
    <row r="149" spans="1:256" s="854" customFormat="1" ht="28.5" customHeight="1">
      <c r="A149" s="1007"/>
      <c r="B149" s="1010"/>
      <c r="C149" s="1054"/>
      <c r="D149" s="1016"/>
      <c r="E149" s="1056"/>
      <c r="F149" s="993">
        <f>F148*$J$13/1000</f>
        <v>0.51414000000000004</v>
      </c>
      <c r="G149" s="994"/>
      <c r="H149" s="995"/>
      <c r="I149" s="993">
        <f>I148*$Q$13/1000</f>
        <v>0.12891239999999998</v>
      </c>
      <c r="J149" s="994"/>
      <c r="K149" s="995"/>
      <c r="L149" s="248" t="s">
        <v>453</v>
      </c>
      <c r="M149" s="243" t="s">
        <v>116</v>
      </c>
      <c r="N149" s="244">
        <v>1</v>
      </c>
      <c r="O149" s="247">
        <f>E148*N149</f>
        <v>14</v>
      </c>
      <c r="P149" s="240">
        <v>3.9449999999999998</v>
      </c>
      <c r="Q149" s="245">
        <f>N149*P149*$N$11</f>
        <v>4.5466247295000013</v>
      </c>
      <c r="R149" s="753">
        <f>SUM(Q149:Q149)</f>
        <v>4.5466247295000013</v>
      </c>
      <c r="S149" s="989"/>
      <c r="T149" s="989"/>
      <c r="U149" s="1019"/>
      <c r="V149" s="157"/>
      <c r="W149" s="157"/>
      <c r="X149" s="239"/>
      <c r="Y149" s="239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744"/>
    </row>
    <row r="150" spans="1:256" s="854" customFormat="1">
      <c r="A150" s="1005">
        <f>+A148+1</f>
        <v>47</v>
      </c>
      <c r="B150" s="1008" t="s">
        <v>454</v>
      </c>
      <c r="C150" s="1053" t="s">
        <v>455</v>
      </c>
      <c r="D150" s="1014" t="s">
        <v>116</v>
      </c>
      <c r="E150" s="1055">
        <v>4</v>
      </c>
      <c r="F150" s="993">
        <v>0.21</v>
      </c>
      <c r="G150" s="994"/>
      <c r="H150" s="995"/>
      <c r="I150" s="993">
        <v>0.03</v>
      </c>
      <c r="J150" s="994"/>
      <c r="K150" s="995"/>
      <c r="L150" s="267"/>
      <c r="M150" s="638"/>
      <c r="N150" s="756"/>
      <c r="O150" s="756"/>
      <c r="P150" s="268"/>
      <c r="Q150" s="775"/>
      <c r="R150" s="755">
        <f>F151+I151</f>
        <v>0.58745429999999998</v>
      </c>
      <c r="S150" s="987">
        <f>R150+R151</f>
        <v>4.2950567727000006</v>
      </c>
      <c r="T150" s="987">
        <f>E150*S150</f>
        <v>17.180227090800003</v>
      </c>
      <c r="U150" s="1017">
        <f>E150*R151</f>
        <v>14.830409890800004</v>
      </c>
      <c r="V150" s="156"/>
      <c r="W150" s="156"/>
      <c r="X150" s="239"/>
      <c r="Y150" s="239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744"/>
    </row>
    <row r="151" spans="1:256" s="854" customFormat="1" ht="28.5" customHeight="1">
      <c r="A151" s="1007"/>
      <c r="B151" s="1010"/>
      <c r="C151" s="1054"/>
      <c r="D151" s="1016"/>
      <c r="E151" s="1056"/>
      <c r="F151" s="993">
        <f>F150*$J$13/1000</f>
        <v>0.49076999999999998</v>
      </c>
      <c r="G151" s="994"/>
      <c r="H151" s="995"/>
      <c r="I151" s="993">
        <f>I150*$Q$13/1000</f>
        <v>9.6684299999999987E-2</v>
      </c>
      <c r="J151" s="994"/>
      <c r="K151" s="995"/>
      <c r="L151" s="248" t="s">
        <v>423</v>
      </c>
      <c r="M151" s="243" t="s">
        <v>116</v>
      </c>
      <c r="N151" s="244">
        <v>1</v>
      </c>
      <c r="O151" s="247">
        <f>E150*N151</f>
        <v>4</v>
      </c>
      <c r="P151" s="240">
        <v>3.2170000000000001</v>
      </c>
      <c r="Q151" s="245">
        <f>N151*P151*$N$11</f>
        <v>3.707602472700001</v>
      </c>
      <c r="R151" s="753">
        <f>SUM(Q151:Q151)</f>
        <v>3.707602472700001</v>
      </c>
      <c r="S151" s="989"/>
      <c r="T151" s="989"/>
      <c r="U151" s="1019"/>
      <c r="V151" s="155"/>
      <c r="W151" s="208"/>
      <c r="X151" s="239"/>
      <c r="Y151" s="239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744"/>
    </row>
    <row r="152" spans="1:256" s="855" customFormat="1" ht="16.5" customHeight="1">
      <c r="A152" s="1162">
        <f>+A150+1</f>
        <v>48</v>
      </c>
      <c r="B152" s="1168" t="s">
        <v>279</v>
      </c>
      <c r="C152" s="1122" t="s">
        <v>456</v>
      </c>
      <c r="D152" s="1124" t="s">
        <v>164</v>
      </c>
      <c r="E152" s="1170">
        <v>4</v>
      </c>
      <c r="F152" s="1126">
        <v>0.31</v>
      </c>
      <c r="G152" s="1127"/>
      <c r="H152" s="1128"/>
      <c r="I152" s="1126">
        <v>0.31</v>
      </c>
      <c r="J152" s="1127"/>
      <c r="K152" s="1128"/>
      <c r="L152" s="526"/>
      <c r="M152" s="527"/>
      <c r="N152" s="528"/>
      <c r="O152" s="528"/>
      <c r="P152" s="529"/>
      <c r="Q152" s="530"/>
      <c r="R152" s="531">
        <f>F153+I153</f>
        <v>1.7235411</v>
      </c>
      <c r="S152" s="1118">
        <f>R152+R153</f>
        <v>10.367314350000003</v>
      </c>
      <c r="T152" s="1118">
        <f>E152*S152</f>
        <v>41.469257400000011</v>
      </c>
      <c r="U152" s="1120">
        <f>+R153*E152</f>
        <v>34.57509300000001</v>
      </c>
      <c r="V152" s="1122" t="s">
        <v>457</v>
      </c>
      <c r="W152" s="1124" t="s">
        <v>197</v>
      </c>
      <c r="X152" s="532"/>
      <c r="Y152" s="532"/>
      <c r="Z152" s="532"/>
      <c r="AA152" s="532"/>
      <c r="AB152" s="532"/>
      <c r="AC152" s="532"/>
      <c r="AD152" s="532"/>
      <c r="AE152" s="532"/>
    </row>
    <row r="153" spans="1:256" s="855" customFormat="1" ht="16.5" customHeight="1">
      <c r="A153" s="1163"/>
      <c r="B153" s="1169"/>
      <c r="C153" s="1123"/>
      <c r="D153" s="1125"/>
      <c r="E153" s="1171"/>
      <c r="F153" s="1126">
        <f>F152*$J$13/1000</f>
        <v>0.72447000000000006</v>
      </c>
      <c r="G153" s="1127"/>
      <c r="H153" s="1128"/>
      <c r="I153" s="1126">
        <f>I152*$Q$13/1000</f>
        <v>0.99907109999999999</v>
      </c>
      <c r="J153" s="1127"/>
      <c r="K153" s="1128"/>
      <c r="L153" s="533" t="s">
        <v>273</v>
      </c>
      <c r="M153" s="534" t="s">
        <v>164</v>
      </c>
      <c r="N153" s="535">
        <v>1</v>
      </c>
      <c r="O153" s="536">
        <f>E152*N153</f>
        <v>4</v>
      </c>
      <c r="P153" s="467">
        <f>9/1.2</f>
        <v>7.5</v>
      </c>
      <c r="Q153" s="537">
        <f>N153*P153*$N$11</f>
        <v>8.6437732500000024</v>
      </c>
      <c r="R153" s="538">
        <f>+Q153</f>
        <v>8.6437732500000024</v>
      </c>
      <c r="S153" s="1119"/>
      <c r="T153" s="1119"/>
      <c r="U153" s="1121"/>
      <c r="V153" s="1123"/>
      <c r="W153" s="1125"/>
      <c r="X153" s="532"/>
      <c r="Y153" s="532"/>
      <c r="Z153" s="532"/>
      <c r="AA153" s="532"/>
      <c r="AB153" s="532"/>
      <c r="AC153" s="532"/>
      <c r="AD153" s="532"/>
      <c r="AE153" s="532"/>
    </row>
    <row r="154" spans="1:256" s="335" customFormat="1" ht="16.5" customHeight="1">
      <c r="A154" s="1162">
        <f t="shared" ref="A154" si="8">+A152+1</f>
        <v>49</v>
      </c>
      <c r="B154" s="1008" t="s">
        <v>280</v>
      </c>
      <c r="C154" s="1053" t="s">
        <v>462</v>
      </c>
      <c r="D154" s="1014" t="s">
        <v>164</v>
      </c>
      <c r="E154" s="1055">
        <v>2</v>
      </c>
      <c r="F154" s="1164">
        <v>1.31</v>
      </c>
      <c r="G154" s="1165"/>
      <c r="H154" s="1166"/>
      <c r="I154" s="1164">
        <v>0.09</v>
      </c>
      <c r="J154" s="1165"/>
      <c r="K154" s="1166"/>
      <c r="L154" s="336"/>
      <c r="M154" s="638"/>
      <c r="N154" s="539"/>
      <c r="O154" s="539"/>
      <c r="P154" s="466"/>
      <c r="Q154" s="749"/>
      <c r="R154" s="755">
        <f>F155+I155</f>
        <v>3.3515229000000004</v>
      </c>
      <c r="S154" s="987">
        <f>R154+R155</f>
        <v>46.570389150000011</v>
      </c>
      <c r="T154" s="987">
        <f>E154*S154</f>
        <v>93.140778300000022</v>
      </c>
      <c r="U154" s="1166">
        <f>R155*E154</f>
        <v>86.437732500000024</v>
      </c>
      <c r="V154" s="1053" t="s">
        <v>458</v>
      </c>
      <c r="W154" s="1014" t="s">
        <v>197</v>
      </c>
      <c r="X154" s="209"/>
      <c r="Y154" s="209"/>
      <c r="Z154" s="209"/>
      <c r="AA154" s="209"/>
      <c r="AB154" s="209"/>
      <c r="AC154" s="209"/>
      <c r="AD154" s="209"/>
      <c r="AE154" s="209"/>
    </row>
    <row r="155" spans="1:256" s="335" customFormat="1" ht="16.5" customHeight="1">
      <c r="A155" s="1163"/>
      <c r="B155" s="1010"/>
      <c r="C155" s="1054"/>
      <c r="D155" s="1016"/>
      <c r="E155" s="1056"/>
      <c r="F155" s="993">
        <f>F154*$J$13/1000</f>
        <v>3.0614700000000004</v>
      </c>
      <c r="G155" s="994"/>
      <c r="H155" s="995"/>
      <c r="I155" s="993">
        <f>I154*$Q$13/1000</f>
        <v>0.29005289999999995</v>
      </c>
      <c r="J155" s="994"/>
      <c r="K155" s="995"/>
      <c r="L155" s="540" t="s">
        <v>464</v>
      </c>
      <c r="M155" s="243" t="s">
        <v>164</v>
      </c>
      <c r="N155" s="541">
        <v>1</v>
      </c>
      <c r="O155" s="542">
        <f>E154*N155</f>
        <v>2</v>
      </c>
      <c r="P155" s="338">
        <f>45/1.2</f>
        <v>37.5</v>
      </c>
      <c r="Q155" s="245">
        <f>N155*P155*$N$11</f>
        <v>43.218866250000012</v>
      </c>
      <c r="R155" s="755">
        <f>SUM(Q155:Q155)</f>
        <v>43.218866250000012</v>
      </c>
      <c r="S155" s="989"/>
      <c r="T155" s="989"/>
      <c r="U155" s="1167"/>
      <c r="V155" s="1054"/>
      <c r="W155" s="1016"/>
      <c r="X155" s="209">
        <f>+P155+P153*2</f>
        <v>52.5</v>
      </c>
      <c r="Y155" s="209"/>
      <c r="Z155" s="209"/>
      <c r="AA155" s="209"/>
      <c r="AB155" s="209"/>
      <c r="AC155" s="209"/>
      <c r="AD155" s="209"/>
      <c r="AE155" s="209"/>
    </row>
    <row r="156" spans="1:256" s="856" customFormat="1" ht="16.5" customHeight="1">
      <c r="A156" s="1162">
        <f t="shared" ref="A156" si="9">+A154+1</f>
        <v>50</v>
      </c>
      <c r="B156" s="1168" t="s">
        <v>376</v>
      </c>
      <c r="C156" s="1122" t="s">
        <v>459</v>
      </c>
      <c r="D156" s="1124" t="s">
        <v>164</v>
      </c>
      <c r="E156" s="1170">
        <v>2</v>
      </c>
      <c r="F156" s="1126">
        <v>0.39</v>
      </c>
      <c r="G156" s="1127"/>
      <c r="H156" s="1128"/>
      <c r="I156" s="1126">
        <v>0.41</v>
      </c>
      <c r="J156" s="1127"/>
      <c r="K156" s="1128"/>
      <c r="L156" s="526"/>
      <c r="M156" s="527"/>
      <c r="N156" s="528"/>
      <c r="O156" s="528"/>
      <c r="P156" s="529"/>
      <c r="Q156" s="530"/>
      <c r="R156" s="531">
        <f>F157+I157</f>
        <v>2.2327821000000001</v>
      </c>
      <c r="S156" s="1118">
        <f>R156+R157</f>
        <v>12.797393850000004</v>
      </c>
      <c r="T156" s="1118">
        <f>E156*S156</f>
        <v>25.594787700000008</v>
      </c>
      <c r="U156" s="1120">
        <f>+R157*E156</f>
        <v>21.129223500000009</v>
      </c>
      <c r="V156" s="1122" t="s">
        <v>460</v>
      </c>
      <c r="W156" s="1124" t="s">
        <v>197</v>
      </c>
      <c r="X156" s="532"/>
      <c r="Y156" s="532"/>
      <c r="Z156" s="532"/>
      <c r="AA156" s="532"/>
      <c r="AB156" s="532"/>
      <c r="AC156" s="532"/>
      <c r="AD156" s="532"/>
      <c r="AE156" s="532"/>
    </row>
    <row r="157" spans="1:256" s="856" customFormat="1" ht="16.5" customHeight="1">
      <c r="A157" s="1163"/>
      <c r="B157" s="1169"/>
      <c r="C157" s="1123"/>
      <c r="D157" s="1125"/>
      <c r="E157" s="1171"/>
      <c r="F157" s="1126">
        <f>F156*$J$13/1000</f>
        <v>0.91143000000000007</v>
      </c>
      <c r="G157" s="1127"/>
      <c r="H157" s="1128"/>
      <c r="I157" s="1126">
        <f>I156*$Q$13/1000</f>
        <v>1.3213520999999999</v>
      </c>
      <c r="J157" s="1127"/>
      <c r="K157" s="1128"/>
      <c r="L157" s="533" t="s">
        <v>273</v>
      </c>
      <c r="M157" s="534" t="s">
        <v>164</v>
      </c>
      <c r="N157" s="535">
        <v>1</v>
      </c>
      <c r="O157" s="536">
        <f>E156*N157</f>
        <v>2</v>
      </c>
      <c r="P157" s="467">
        <f>11/1.2</f>
        <v>9.1666666666666679</v>
      </c>
      <c r="Q157" s="537">
        <f>N157*P157*$N$11</f>
        <v>10.564611750000005</v>
      </c>
      <c r="R157" s="538">
        <f>+Q157</f>
        <v>10.564611750000005</v>
      </c>
      <c r="S157" s="1119"/>
      <c r="T157" s="1119"/>
      <c r="U157" s="1121"/>
      <c r="V157" s="1123"/>
      <c r="W157" s="1125"/>
      <c r="X157" s="532"/>
      <c r="Y157" s="532"/>
      <c r="Z157" s="532"/>
      <c r="AA157" s="532"/>
      <c r="AB157" s="532"/>
      <c r="AC157" s="532"/>
      <c r="AD157" s="532"/>
      <c r="AE157" s="532"/>
    </row>
    <row r="158" spans="1:256" s="854" customFormat="1" ht="16.5" customHeight="1">
      <c r="A158" s="1162">
        <f t="shared" ref="A158" si="10">+A156+1</f>
        <v>51</v>
      </c>
      <c r="B158" s="1008" t="s">
        <v>280</v>
      </c>
      <c r="C158" s="1053" t="s">
        <v>463</v>
      </c>
      <c r="D158" s="1014" t="s">
        <v>164</v>
      </c>
      <c r="E158" s="1055">
        <v>1</v>
      </c>
      <c r="F158" s="1164">
        <v>1.31</v>
      </c>
      <c r="G158" s="1165"/>
      <c r="H158" s="1166"/>
      <c r="I158" s="1164">
        <v>0.09</v>
      </c>
      <c r="J158" s="1165"/>
      <c r="K158" s="1166"/>
      <c r="L158" s="336"/>
      <c r="M158" s="638"/>
      <c r="N158" s="539"/>
      <c r="O158" s="539"/>
      <c r="P158" s="466"/>
      <c r="Q158" s="749"/>
      <c r="R158" s="755">
        <f>F159+I159</f>
        <v>3.3515229000000004</v>
      </c>
      <c r="S158" s="987">
        <f>R158+R159</f>
        <v>51.372485400000016</v>
      </c>
      <c r="T158" s="987">
        <f>E158*S158</f>
        <v>51.372485400000016</v>
      </c>
      <c r="U158" s="1166">
        <f>R159*E158</f>
        <v>48.020962500000017</v>
      </c>
      <c r="V158" s="1053" t="s">
        <v>461</v>
      </c>
      <c r="W158" s="1014" t="s">
        <v>197</v>
      </c>
      <c r="X158" s="209"/>
      <c r="Y158" s="209"/>
      <c r="Z158" s="209"/>
      <c r="AA158" s="209"/>
      <c r="AB158" s="209"/>
      <c r="AC158" s="209"/>
      <c r="AD158" s="209"/>
      <c r="AE158" s="209"/>
    </row>
    <row r="159" spans="1:256" s="854" customFormat="1" ht="16.5" customHeight="1">
      <c r="A159" s="1163"/>
      <c r="B159" s="1010"/>
      <c r="C159" s="1054"/>
      <c r="D159" s="1016"/>
      <c r="E159" s="1056"/>
      <c r="F159" s="993">
        <f>F158*$J$13/1000</f>
        <v>3.0614700000000004</v>
      </c>
      <c r="G159" s="994"/>
      <c r="H159" s="995"/>
      <c r="I159" s="993">
        <f>I158*$Q$13/1000</f>
        <v>0.29005289999999995</v>
      </c>
      <c r="J159" s="994"/>
      <c r="K159" s="995"/>
      <c r="L159" s="540" t="s">
        <v>375</v>
      </c>
      <c r="M159" s="243" t="s">
        <v>164</v>
      </c>
      <c r="N159" s="541">
        <v>1</v>
      </c>
      <c r="O159" s="542">
        <f>E158*N159</f>
        <v>1</v>
      </c>
      <c r="P159" s="338">
        <f>50/1.2</f>
        <v>41.666666666666671</v>
      </c>
      <c r="Q159" s="245">
        <f>N159*P159*$N$11</f>
        <v>48.020962500000017</v>
      </c>
      <c r="R159" s="755">
        <f>SUM(Q159:Q159)</f>
        <v>48.020962500000017</v>
      </c>
      <c r="S159" s="989"/>
      <c r="T159" s="989"/>
      <c r="U159" s="1167"/>
      <c r="V159" s="1054"/>
      <c r="W159" s="1016"/>
      <c r="X159" s="209"/>
      <c r="Y159" s="209"/>
      <c r="Z159" s="209"/>
      <c r="AA159" s="209"/>
      <c r="AB159" s="209"/>
      <c r="AC159" s="209"/>
      <c r="AD159" s="209"/>
      <c r="AE159" s="209"/>
    </row>
    <row r="160" spans="1:256" s="694" customFormat="1" ht="12.75" customHeight="1">
      <c r="A160" s="1000">
        <f>+A158+1</f>
        <v>52</v>
      </c>
      <c r="B160" s="1001" t="s">
        <v>191</v>
      </c>
      <c r="C160" s="965" t="s">
        <v>485</v>
      </c>
      <c r="D160" s="966" t="s">
        <v>164</v>
      </c>
      <c r="E160" s="1003">
        <v>1</v>
      </c>
      <c r="F160" s="967"/>
      <c r="G160" s="967"/>
      <c r="H160" s="967"/>
      <c r="I160" s="1004"/>
      <c r="J160" s="1004"/>
      <c r="K160" s="1004"/>
      <c r="L160" s="267"/>
      <c r="M160" s="638"/>
      <c r="N160" s="756"/>
      <c r="O160" s="756"/>
      <c r="P160" s="268"/>
      <c r="Q160" s="775"/>
      <c r="R160" s="767">
        <f>F161+I161</f>
        <v>0</v>
      </c>
      <c r="S160" s="999">
        <f>R160+R161</f>
        <v>4.0337608500000011</v>
      </c>
      <c r="T160" s="999">
        <f>E160*S160</f>
        <v>4.0337608500000011</v>
      </c>
      <c r="U160" s="964">
        <f>R161*E160</f>
        <v>4.0337608500000011</v>
      </c>
      <c r="V160" s="965"/>
      <c r="W160" s="966"/>
      <c r="X160" s="692">
        <f>+W155*X155</f>
        <v>0</v>
      </c>
      <c r="Y160" s="693"/>
      <c r="Z160" s="693"/>
      <c r="AA160" s="693"/>
      <c r="AB160" s="693"/>
      <c r="AC160" s="693"/>
      <c r="AD160" s="693"/>
      <c r="AE160" s="693"/>
      <c r="AF160" s="693"/>
      <c r="AG160" s="693"/>
      <c r="AH160" s="693"/>
      <c r="AI160" s="693"/>
      <c r="AJ160" s="693"/>
      <c r="AK160" s="693"/>
    </row>
    <row r="161" spans="1:39" s="694" customFormat="1" ht="12.75" customHeight="1">
      <c r="A161" s="1000"/>
      <c r="B161" s="1002"/>
      <c r="C161" s="965"/>
      <c r="D161" s="966"/>
      <c r="E161" s="1003"/>
      <c r="F161" s="967"/>
      <c r="G161" s="967"/>
      <c r="H161" s="967"/>
      <c r="I161" s="967"/>
      <c r="J161" s="967"/>
      <c r="K161" s="967"/>
      <c r="L161" s="248" t="s">
        <v>485</v>
      </c>
      <c r="M161" s="243" t="s">
        <v>164</v>
      </c>
      <c r="N161" s="244">
        <v>1</v>
      </c>
      <c r="O161" s="247">
        <f>E160*N161</f>
        <v>1</v>
      </c>
      <c r="P161" s="240">
        <v>3.5</v>
      </c>
      <c r="Q161" s="245">
        <f>N161*P161*$N$11</f>
        <v>4.0337608500000011</v>
      </c>
      <c r="R161" s="767">
        <f>SUM(Q161:Q161)</f>
        <v>4.0337608500000011</v>
      </c>
      <c r="S161" s="999"/>
      <c r="T161" s="999"/>
      <c r="U161" s="964"/>
      <c r="V161" s="965"/>
      <c r="W161" s="966"/>
      <c r="X161" s="692"/>
      <c r="Y161" s="693"/>
      <c r="Z161" s="693"/>
      <c r="AA161" s="693"/>
      <c r="AB161" s="693"/>
      <c r="AC161" s="693"/>
      <c r="AD161" s="693"/>
      <c r="AE161" s="693"/>
      <c r="AF161" s="693"/>
      <c r="AG161" s="693"/>
      <c r="AH161" s="693"/>
      <c r="AI161" s="693"/>
      <c r="AJ161" s="693"/>
      <c r="AK161" s="693"/>
    </row>
    <row r="162" spans="1:39" s="156" customFormat="1" ht="21.75" customHeight="1">
      <c r="A162" s="1291">
        <f>+A160+1</f>
        <v>53</v>
      </c>
      <c r="B162" s="1008" t="s">
        <v>148</v>
      </c>
      <c r="C162" s="1011" t="s">
        <v>428</v>
      </c>
      <c r="D162" s="1014" t="s">
        <v>124</v>
      </c>
      <c r="E162" s="1199">
        <v>6</v>
      </c>
      <c r="F162" s="1293">
        <f>0.001*190</f>
        <v>0.19</v>
      </c>
      <c r="G162" s="1294"/>
      <c r="H162" s="1295"/>
      <c r="I162" s="1293">
        <f>0.001*162</f>
        <v>0.16200000000000001</v>
      </c>
      <c r="J162" s="1294"/>
      <c r="K162" s="1295"/>
      <c r="L162" s="779"/>
      <c r="M162" s="638"/>
      <c r="N162" s="756"/>
      <c r="O162" s="756"/>
      <c r="P162" s="756"/>
      <c r="Q162" s="749"/>
      <c r="R162" s="755">
        <f>F163+I163</f>
        <v>0.96612522000000012</v>
      </c>
      <c r="S162" s="987">
        <f>R162+R163</f>
        <v>2.3491289400000004</v>
      </c>
      <c r="T162" s="987">
        <f>E162*S162</f>
        <v>14.094773640000003</v>
      </c>
      <c r="U162" s="1112">
        <f>R163*E162</f>
        <v>8.2980223200000012</v>
      </c>
      <c r="V162" s="1011" t="s">
        <v>429</v>
      </c>
      <c r="W162" s="1014" t="s">
        <v>199</v>
      </c>
      <c r="Y162" s="239"/>
      <c r="Z162" s="239"/>
    </row>
    <row r="163" spans="1:39" s="156" customFormat="1" ht="21.75" customHeight="1">
      <c r="A163" s="1292"/>
      <c r="B163" s="1010"/>
      <c r="C163" s="1013"/>
      <c r="D163" s="1016"/>
      <c r="E163" s="1200"/>
      <c r="F163" s="993">
        <f>F162*J$13/1000</f>
        <v>0.44403000000000004</v>
      </c>
      <c r="G163" s="994"/>
      <c r="H163" s="995"/>
      <c r="I163" s="993">
        <f>I162*$Q$13/1000</f>
        <v>0.52209522000000008</v>
      </c>
      <c r="J163" s="994"/>
      <c r="K163" s="995"/>
      <c r="L163" s="337" t="s">
        <v>149</v>
      </c>
      <c r="M163" s="243" t="s">
        <v>124</v>
      </c>
      <c r="N163" s="338">
        <v>1</v>
      </c>
      <c r="O163" s="247">
        <f>E162*N163</f>
        <v>6</v>
      </c>
      <c r="P163" s="240">
        <v>1.2</v>
      </c>
      <c r="Q163" s="245">
        <f>N163*P163*$N$11</f>
        <v>1.3830037200000003</v>
      </c>
      <c r="R163" s="755">
        <f>SUM(Q163:Q163)</f>
        <v>1.3830037200000003</v>
      </c>
      <c r="S163" s="989"/>
      <c r="T163" s="989"/>
      <c r="U163" s="1113"/>
      <c r="V163" s="1013"/>
      <c r="W163" s="1016"/>
      <c r="Y163" s="239"/>
      <c r="Z163" s="239"/>
    </row>
    <row r="164" spans="1:39" s="363" customFormat="1" ht="18.75" customHeight="1">
      <c r="A164" s="1291">
        <f>+A162+1</f>
        <v>54</v>
      </c>
      <c r="B164" s="1008" t="s">
        <v>147</v>
      </c>
      <c r="C164" s="1053" t="s">
        <v>363</v>
      </c>
      <c r="D164" s="1014" t="s">
        <v>122</v>
      </c>
      <c r="E164" s="1199">
        <v>2</v>
      </c>
      <c r="F164" s="1193">
        <f>21.4/100</f>
        <v>0.214</v>
      </c>
      <c r="G164" s="1194"/>
      <c r="H164" s="1195"/>
      <c r="I164" s="1201">
        <f>0.03/100</f>
        <v>2.9999999999999997E-4</v>
      </c>
      <c r="J164" s="1202"/>
      <c r="K164" s="1203"/>
      <c r="L164" s="417"/>
      <c r="M164" s="638"/>
      <c r="N164" s="756"/>
      <c r="O164" s="756"/>
      <c r="P164" s="756"/>
      <c r="Q164" s="749"/>
      <c r="R164" s="755">
        <f>F165+I165</f>
        <v>0.501084843</v>
      </c>
      <c r="S164" s="987">
        <f>R164+R165</f>
        <v>0.89437652587500016</v>
      </c>
      <c r="T164" s="987">
        <f>E164*S164</f>
        <v>1.7887530517500003</v>
      </c>
      <c r="U164" s="1270">
        <f>R165*E164</f>
        <v>0.78658336575000032</v>
      </c>
      <c r="V164" s="1296" t="s">
        <v>307</v>
      </c>
      <c r="W164" s="1298" t="s">
        <v>410</v>
      </c>
      <c r="X164" s="156"/>
      <c r="Y164" s="239"/>
      <c r="Z164" s="156"/>
      <c r="AA164" s="156"/>
      <c r="AB164" s="156"/>
      <c r="AC164" s="156"/>
      <c r="AD164" s="156"/>
      <c r="AE164" s="156"/>
    </row>
    <row r="165" spans="1:39" s="363" customFormat="1" ht="24" customHeight="1">
      <c r="A165" s="1292"/>
      <c r="B165" s="1010"/>
      <c r="C165" s="1054"/>
      <c r="D165" s="1016"/>
      <c r="E165" s="1200"/>
      <c r="F165" s="993">
        <f>F164*J$13/1000</f>
        <v>0.50011799999999995</v>
      </c>
      <c r="G165" s="994"/>
      <c r="H165" s="995"/>
      <c r="I165" s="1201">
        <f>I164*$Q$13/1000</f>
        <v>9.6684299999999989E-4</v>
      </c>
      <c r="J165" s="1202"/>
      <c r="K165" s="1203"/>
      <c r="L165" s="337" t="s">
        <v>130</v>
      </c>
      <c r="M165" s="243" t="s">
        <v>124</v>
      </c>
      <c r="N165" s="240">
        <f>27.3/100</f>
        <v>0.27300000000000002</v>
      </c>
      <c r="O165" s="340">
        <f>E164*N165</f>
        <v>0.54600000000000004</v>
      </c>
      <c r="P165" s="240">
        <v>1.25</v>
      </c>
      <c r="Q165" s="245">
        <f>N165*P165*$N$11</f>
        <v>0.39329168287500016</v>
      </c>
      <c r="R165" s="750">
        <f>SUM(Q165:Q165)</f>
        <v>0.39329168287500016</v>
      </c>
      <c r="S165" s="989"/>
      <c r="T165" s="989"/>
      <c r="U165" s="1270"/>
      <c r="V165" s="1297"/>
      <c r="W165" s="1299"/>
      <c r="X165" s="156"/>
      <c r="Y165" s="239"/>
      <c r="Z165" s="156"/>
      <c r="AA165" s="156"/>
      <c r="AB165" s="156"/>
      <c r="AC165" s="156"/>
      <c r="AD165" s="156"/>
      <c r="AE165" s="156"/>
    </row>
    <row r="166" spans="1:39" s="156" customFormat="1" ht="12.95" customHeight="1">
      <c r="A166" s="1005">
        <f>+A164+1</f>
        <v>55</v>
      </c>
      <c r="B166" s="1008" t="s">
        <v>465</v>
      </c>
      <c r="C166" s="1053" t="s">
        <v>466</v>
      </c>
      <c r="D166" s="1014" t="s">
        <v>116</v>
      </c>
      <c r="E166" s="1199">
        <v>14</v>
      </c>
      <c r="F166" s="1193">
        <v>0.14000000000000001</v>
      </c>
      <c r="G166" s="1194"/>
      <c r="H166" s="1195"/>
      <c r="I166" s="1193">
        <v>0.1</v>
      </c>
      <c r="J166" s="1194"/>
      <c r="K166" s="1195"/>
      <c r="L166" s="248"/>
      <c r="M166" s="728"/>
      <c r="N166" s="857"/>
      <c r="O166" s="370"/>
      <c r="P166" s="858"/>
      <c r="Q166" s="753"/>
      <c r="R166" s="755">
        <f>F167+I167</f>
        <v>0.64946100000000007</v>
      </c>
      <c r="S166" s="987">
        <f>R166+R167</f>
        <v>3.9822556345428013</v>
      </c>
      <c r="T166" s="987">
        <f>E166*S166</f>
        <v>55.751578883599215</v>
      </c>
      <c r="U166" s="1017">
        <f>E166*R167</f>
        <v>46.659124883599219</v>
      </c>
      <c r="X166" s="859"/>
      <c r="Y166" s="859"/>
      <c r="Z166" s="859"/>
      <c r="AA166" s="859"/>
      <c r="AB166" s="158"/>
      <c r="AC166" s="158"/>
      <c r="AD166" s="158"/>
      <c r="AE166" s="158"/>
      <c r="AF166" s="158"/>
      <c r="AG166" s="158"/>
      <c r="AH166" s="158"/>
      <c r="AI166" s="209"/>
      <c r="AJ166" s="209"/>
      <c r="AK166" s="209"/>
      <c r="AL166" s="209"/>
      <c r="AM166" s="209"/>
    </row>
    <row r="167" spans="1:39" s="156" customFormat="1" ht="15.75" customHeight="1">
      <c r="A167" s="1006"/>
      <c r="B167" s="1009"/>
      <c r="C167" s="1286"/>
      <c r="D167" s="1015"/>
      <c r="E167" s="1287"/>
      <c r="F167" s="1164">
        <f>F166*$J$13/1000</f>
        <v>0.32718000000000003</v>
      </c>
      <c r="G167" s="1165"/>
      <c r="H167" s="1166"/>
      <c r="I167" s="1164">
        <f>I166*$Q$13/1000</f>
        <v>0.32228099999999998</v>
      </c>
      <c r="J167" s="1165"/>
      <c r="K167" s="1166"/>
      <c r="L167" s="249" t="s">
        <v>333</v>
      </c>
      <c r="M167" s="250" t="s">
        <v>124</v>
      </c>
      <c r="N167" s="406">
        <v>3.32</v>
      </c>
      <c r="O167" s="252">
        <f>E166*N167</f>
        <v>46.48</v>
      </c>
      <c r="P167" s="236">
        <v>0.8</v>
      </c>
      <c r="Q167" s="253">
        <f>N167*P167*$N$11</f>
        <v>3.0610482336000011</v>
      </c>
      <c r="R167" s="987">
        <f>SUM(Q167:Q169)</f>
        <v>3.3327946345428012</v>
      </c>
      <c r="S167" s="988"/>
      <c r="T167" s="988"/>
      <c r="U167" s="1018"/>
      <c r="X167" s="859"/>
      <c r="Y167" s="859"/>
      <c r="Z167" s="859"/>
      <c r="AA167" s="859"/>
      <c r="AB167" s="158"/>
      <c r="AC167" s="158"/>
      <c r="AD167" s="158"/>
      <c r="AE167" s="158"/>
      <c r="AF167" s="158"/>
      <c r="AG167" s="158"/>
      <c r="AH167" s="158"/>
      <c r="AI167" s="209"/>
      <c r="AJ167" s="209"/>
      <c r="AK167" s="209"/>
      <c r="AL167" s="209"/>
      <c r="AM167" s="209"/>
    </row>
    <row r="168" spans="1:39" s="156" customFormat="1" ht="12.95" customHeight="1">
      <c r="A168" s="1006"/>
      <c r="B168" s="1009"/>
      <c r="C168" s="1286"/>
      <c r="D168" s="1015"/>
      <c r="E168" s="1287"/>
      <c r="F168" s="1288"/>
      <c r="G168" s="1289"/>
      <c r="H168" s="1290"/>
      <c r="I168" s="1288"/>
      <c r="J168" s="1289"/>
      <c r="K168" s="1290"/>
      <c r="L168" s="576" t="s">
        <v>334</v>
      </c>
      <c r="M168" s="260" t="s">
        <v>122</v>
      </c>
      <c r="N168" s="407">
        <v>0.82</v>
      </c>
      <c r="O168" s="261">
        <f>E166*N168</f>
        <v>11.479999999999999</v>
      </c>
      <c r="P168" s="237">
        <f>88.4/1000</f>
        <v>8.8400000000000006E-2</v>
      </c>
      <c r="Q168" s="262">
        <f>N168*P168*$N$11</f>
        <v>8.3542644712800027E-2</v>
      </c>
      <c r="R168" s="988"/>
      <c r="S168" s="988"/>
      <c r="T168" s="988"/>
      <c r="U168" s="1018"/>
      <c r="X168" s="703"/>
      <c r="Y168" s="239"/>
    </row>
    <row r="169" spans="1:39" s="156" customFormat="1" ht="12.95" customHeight="1">
      <c r="A169" s="1007"/>
      <c r="B169" s="1010"/>
      <c r="C169" s="1054"/>
      <c r="D169" s="1016"/>
      <c r="E169" s="1200"/>
      <c r="F169" s="1225"/>
      <c r="G169" s="1226"/>
      <c r="H169" s="1167"/>
      <c r="I169" s="1225"/>
      <c r="J169" s="1226"/>
      <c r="K169" s="1167"/>
      <c r="L169" s="263" t="s">
        <v>335</v>
      </c>
      <c r="M169" s="457" t="s">
        <v>122</v>
      </c>
      <c r="N169" s="408">
        <v>0.71</v>
      </c>
      <c r="O169" s="256">
        <f>E166*N169</f>
        <v>9.94</v>
      </c>
      <c r="P169" s="577">
        <v>0.23</v>
      </c>
      <c r="Q169" s="258">
        <f>N169*P169*$N$11</f>
        <v>0.18820375623000005</v>
      </c>
      <c r="R169" s="989"/>
      <c r="S169" s="989"/>
      <c r="T169" s="989"/>
      <c r="U169" s="1019"/>
      <c r="X169" s="703"/>
      <c r="Y169" s="239"/>
    </row>
    <row r="170" spans="1:39" s="156" customFormat="1" ht="12.95" customHeight="1">
      <c r="A170" s="1005">
        <f>+A166+1</f>
        <v>56</v>
      </c>
      <c r="B170" s="1008" t="s">
        <v>467</v>
      </c>
      <c r="C170" s="1053" t="s">
        <v>468</v>
      </c>
      <c r="D170" s="1014" t="s">
        <v>116</v>
      </c>
      <c r="E170" s="1199">
        <v>4</v>
      </c>
      <c r="F170" s="1193">
        <v>0.14000000000000001</v>
      </c>
      <c r="G170" s="1194"/>
      <c r="H170" s="1195"/>
      <c r="I170" s="1193">
        <v>0.1</v>
      </c>
      <c r="J170" s="1194"/>
      <c r="K170" s="1195"/>
      <c r="L170" s="248"/>
      <c r="M170" s="638"/>
      <c r="N170" s="575"/>
      <c r="O170" s="756"/>
      <c r="P170" s="370"/>
      <c r="Q170" s="749"/>
      <c r="R170" s="755">
        <f>F171+I171</f>
        <v>0.64946100000000007</v>
      </c>
      <c r="S170" s="987">
        <f>R170+R171</f>
        <v>2.9709157242432007</v>
      </c>
      <c r="T170" s="987">
        <f>E170*S170</f>
        <v>11.883662896972803</v>
      </c>
      <c r="U170" s="1017">
        <f>E170*R171</f>
        <v>9.2858188969728026</v>
      </c>
      <c r="X170" s="859"/>
      <c r="Y170" s="859"/>
      <c r="Z170" s="859"/>
      <c r="AA170" s="859"/>
      <c r="AB170" s="158"/>
      <c r="AC170" s="158"/>
      <c r="AD170" s="158"/>
      <c r="AE170" s="158"/>
      <c r="AF170" s="158"/>
      <c r="AG170" s="158"/>
      <c r="AH170" s="158"/>
      <c r="AI170" s="209"/>
      <c r="AJ170" s="209"/>
      <c r="AK170" s="209"/>
      <c r="AL170" s="209"/>
      <c r="AM170" s="209"/>
    </row>
    <row r="171" spans="1:39" s="156" customFormat="1" ht="15" customHeight="1">
      <c r="A171" s="1006"/>
      <c r="B171" s="1009"/>
      <c r="C171" s="1286"/>
      <c r="D171" s="1015"/>
      <c r="E171" s="1287"/>
      <c r="F171" s="1164">
        <f>F170*$J$13/1000</f>
        <v>0.32718000000000003</v>
      </c>
      <c r="G171" s="1165"/>
      <c r="H171" s="1166"/>
      <c r="I171" s="1164">
        <f>I170*$Q$13/1000</f>
        <v>0.32228099999999998</v>
      </c>
      <c r="J171" s="1165"/>
      <c r="K171" s="1166"/>
      <c r="L171" s="249" t="s">
        <v>333</v>
      </c>
      <c r="M171" s="250" t="s">
        <v>124</v>
      </c>
      <c r="N171" s="406">
        <v>2.31</v>
      </c>
      <c r="O171" s="252">
        <f>E170*N171</f>
        <v>9.24</v>
      </c>
      <c r="P171" s="236">
        <v>0.8</v>
      </c>
      <c r="Q171" s="253">
        <f>N171*P171*$N$11</f>
        <v>2.1298257288000007</v>
      </c>
      <c r="R171" s="987">
        <f>SUM(Q171:Q173)</f>
        <v>2.3214547242432007</v>
      </c>
      <c r="S171" s="988"/>
      <c r="T171" s="988"/>
      <c r="U171" s="101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</row>
    <row r="172" spans="1:39" s="156" customFormat="1" ht="12.95" customHeight="1">
      <c r="A172" s="1006"/>
      <c r="B172" s="1009"/>
      <c r="C172" s="1286"/>
      <c r="D172" s="1015"/>
      <c r="E172" s="1287"/>
      <c r="F172" s="1288"/>
      <c r="G172" s="1289"/>
      <c r="H172" s="1290"/>
      <c r="I172" s="1288"/>
      <c r="J172" s="1289"/>
      <c r="K172" s="1290"/>
      <c r="L172" s="259" t="s">
        <v>334</v>
      </c>
      <c r="M172" s="260" t="s">
        <v>122</v>
      </c>
      <c r="N172" s="407">
        <v>0.57999999999999996</v>
      </c>
      <c r="O172" s="261">
        <f>E170*N172</f>
        <v>2.3199999999999998</v>
      </c>
      <c r="P172" s="237">
        <f>88.4/1000</f>
        <v>8.8400000000000006E-2</v>
      </c>
      <c r="Q172" s="262">
        <f>N172*P172*$N$11</f>
        <v>5.9091138943200013E-2</v>
      </c>
      <c r="R172" s="988"/>
      <c r="S172" s="988"/>
      <c r="T172" s="988"/>
      <c r="U172" s="101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</row>
    <row r="173" spans="1:39" s="156" customFormat="1" ht="12.75" customHeight="1">
      <c r="A173" s="1007"/>
      <c r="B173" s="1010"/>
      <c r="C173" s="1054"/>
      <c r="D173" s="1016"/>
      <c r="E173" s="1200"/>
      <c r="F173" s="1225"/>
      <c r="G173" s="1226"/>
      <c r="H173" s="1167"/>
      <c r="I173" s="1225"/>
      <c r="J173" s="1226"/>
      <c r="K173" s="1167"/>
      <c r="L173" s="263" t="s">
        <v>335</v>
      </c>
      <c r="M173" s="254" t="s">
        <v>122</v>
      </c>
      <c r="N173" s="408">
        <v>0.5</v>
      </c>
      <c r="O173" s="256">
        <f>E170*N173</f>
        <v>2</v>
      </c>
      <c r="P173" s="257">
        <v>0.23</v>
      </c>
      <c r="Q173" s="258">
        <f>N173*P173*$N$11</f>
        <v>0.13253785650000005</v>
      </c>
      <c r="R173" s="989"/>
      <c r="S173" s="989"/>
      <c r="T173" s="989"/>
      <c r="U173" s="1019"/>
      <c r="X173" s="239"/>
      <c r="Y173" s="239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</row>
    <row r="174" spans="1:39" s="856" customFormat="1" ht="16.5" customHeight="1">
      <c r="A174" s="1162">
        <f>+A170+1</f>
        <v>57</v>
      </c>
      <c r="B174" s="1168" t="s">
        <v>471</v>
      </c>
      <c r="C174" s="1122" t="s">
        <v>469</v>
      </c>
      <c r="D174" s="1124" t="s">
        <v>164</v>
      </c>
      <c r="E174" s="1170">
        <v>2</v>
      </c>
      <c r="F174" s="1126">
        <f>1.24</f>
        <v>1.24</v>
      </c>
      <c r="G174" s="1127"/>
      <c r="H174" s="1128"/>
      <c r="I174" s="1126">
        <f>0.59</f>
        <v>0.59</v>
      </c>
      <c r="J174" s="1127"/>
      <c r="K174" s="1128"/>
      <c r="L174" s="387"/>
      <c r="M174" s="661"/>
      <c r="N174" s="661"/>
      <c r="O174" s="661"/>
      <c r="P174" s="662"/>
      <c r="Q174" s="389"/>
      <c r="R174" s="531">
        <f>F175+I175</f>
        <v>4.7993379000000003</v>
      </c>
      <c r="S174" s="1118">
        <f>R174+R175</f>
        <v>4.7993379000000003</v>
      </c>
      <c r="T174" s="1118">
        <f>E174*S174</f>
        <v>9.5986758000000005</v>
      </c>
      <c r="U174" s="1120">
        <f>+R175*E174</f>
        <v>0</v>
      </c>
      <c r="V174" s="1122"/>
      <c r="W174" s="1124"/>
      <c r="X174" s="532"/>
      <c r="Y174" s="532"/>
      <c r="Z174" s="532"/>
      <c r="AA174" s="532"/>
      <c r="AB174" s="532"/>
      <c r="AC174" s="532"/>
      <c r="AD174" s="532"/>
      <c r="AE174" s="532"/>
    </row>
    <row r="175" spans="1:39" s="856" customFormat="1" ht="16.5" customHeight="1">
      <c r="A175" s="1163"/>
      <c r="B175" s="1169"/>
      <c r="C175" s="1123"/>
      <c r="D175" s="1125"/>
      <c r="E175" s="1171"/>
      <c r="F175" s="1126">
        <f>F174*$J$13/1000</f>
        <v>2.8978800000000002</v>
      </c>
      <c r="G175" s="1127"/>
      <c r="H175" s="1128"/>
      <c r="I175" s="1126">
        <f>I174*$Q$13/1000</f>
        <v>1.9014578999999998</v>
      </c>
      <c r="J175" s="1127"/>
      <c r="K175" s="1128"/>
      <c r="L175" s="390"/>
      <c r="M175" s="509"/>
      <c r="N175" s="509"/>
      <c r="O175" s="509"/>
      <c r="P175" s="391"/>
      <c r="Q175" s="392"/>
      <c r="R175" s="538">
        <f>+Q175</f>
        <v>0</v>
      </c>
      <c r="S175" s="1119"/>
      <c r="T175" s="1119"/>
      <c r="U175" s="1121"/>
      <c r="V175" s="1123"/>
      <c r="W175" s="1125"/>
      <c r="X175" s="532"/>
      <c r="Y175" s="532"/>
      <c r="Z175" s="532"/>
      <c r="AA175" s="532"/>
      <c r="AB175" s="532"/>
      <c r="AC175" s="532"/>
      <c r="AD175" s="532"/>
      <c r="AE175" s="532"/>
    </row>
    <row r="176" spans="1:39" s="856" customFormat="1" ht="16.5" customHeight="1">
      <c r="A176" s="1162">
        <f t="shared" ref="A176" si="11">+A174+1</f>
        <v>58</v>
      </c>
      <c r="B176" s="1168" t="s">
        <v>470</v>
      </c>
      <c r="C176" s="1122" t="s">
        <v>472</v>
      </c>
      <c r="D176" s="1124" t="s">
        <v>164</v>
      </c>
      <c r="E176" s="1170">
        <v>2</v>
      </c>
      <c r="F176" s="1126">
        <f>1.24*0.6</f>
        <v>0.74399999999999999</v>
      </c>
      <c r="G176" s="1127"/>
      <c r="H176" s="1128"/>
      <c r="I176" s="1126">
        <f>0.59*0.6</f>
        <v>0.35399999999999998</v>
      </c>
      <c r="J176" s="1127"/>
      <c r="K176" s="1128"/>
      <c r="L176" s="387"/>
      <c r="M176" s="661"/>
      <c r="N176" s="661"/>
      <c r="O176" s="661"/>
      <c r="P176" s="662"/>
      <c r="Q176" s="389"/>
      <c r="R176" s="531">
        <f>F177+I177</f>
        <v>2.8796027400000002</v>
      </c>
      <c r="S176" s="1118">
        <f>R176+R177</f>
        <v>2.8796027400000002</v>
      </c>
      <c r="T176" s="1118">
        <f>E176*S176</f>
        <v>5.7592054800000003</v>
      </c>
      <c r="U176" s="1120">
        <f>+R177*E176</f>
        <v>0</v>
      </c>
      <c r="V176" s="1122"/>
      <c r="W176" s="1124"/>
      <c r="X176" s="532"/>
      <c r="Y176" s="532"/>
      <c r="Z176" s="532"/>
      <c r="AA176" s="532"/>
      <c r="AB176" s="532"/>
      <c r="AC176" s="532"/>
      <c r="AD176" s="532"/>
      <c r="AE176" s="532"/>
    </row>
    <row r="177" spans="1:39" s="856" customFormat="1" ht="16.5" customHeight="1">
      <c r="A177" s="1163"/>
      <c r="B177" s="1169"/>
      <c r="C177" s="1123"/>
      <c r="D177" s="1125"/>
      <c r="E177" s="1171"/>
      <c r="F177" s="1126">
        <f>F176*$J$13/1000</f>
        <v>1.7387280000000001</v>
      </c>
      <c r="G177" s="1127"/>
      <c r="H177" s="1128"/>
      <c r="I177" s="1126">
        <f>I176*$Q$13/1000</f>
        <v>1.1408747399999999</v>
      </c>
      <c r="J177" s="1127"/>
      <c r="K177" s="1128"/>
      <c r="L177" s="390"/>
      <c r="M177" s="509"/>
      <c r="N177" s="509"/>
      <c r="O177" s="509"/>
      <c r="P177" s="391"/>
      <c r="Q177" s="392"/>
      <c r="R177" s="538">
        <f>+Q177</f>
        <v>0</v>
      </c>
      <c r="S177" s="1119"/>
      <c r="T177" s="1119"/>
      <c r="U177" s="1121"/>
      <c r="V177" s="1123"/>
      <c r="W177" s="1125"/>
      <c r="X177" s="532"/>
      <c r="Y177" s="532"/>
      <c r="Z177" s="532"/>
      <c r="AA177" s="532"/>
      <c r="AB177" s="532"/>
      <c r="AC177" s="532"/>
      <c r="AD177" s="532"/>
      <c r="AE177" s="532"/>
    </row>
    <row r="178" spans="1:39" s="723" customFormat="1" ht="14.25" customHeight="1">
      <c r="A178" s="1005">
        <f>+A176+1</f>
        <v>59</v>
      </c>
      <c r="B178" s="1008" t="s">
        <v>481</v>
      </c>
      <c r="C178" s="1197" t="s">
        <v>482</v>
      </c>
      <c r="D178" s="1014" t="s">
        <v>116</v>
      </c>
      <c r="E178" s="1199">
        <v>18</v>
      </c>
      <c r="F178" s="1201">
        <f>29.8/1000</f>
        <v>2.98E-2</v>
      </c>
      <c r="G178" s="1202"/>
      <c r="H178" s="1203"/>
      <c r="I178" s="1204"/>
      <c r="J178" s="1205"/>
      <c r="K178" s="1206"/>
      <c r="L178" s="862"/>
      <c r="M178" s="638"/>
      <c r="N178" s="756"/>
      <c r="O178" s="756"/>
      <c r="P178" s="863"/>
      <c r="Q178" s="749"/>
      <c r="R178" s="755">
        <f>F179+I179</f>
        <v>6.9642599999999999E-2</v>
      </c>
      <c r="S178" s="987">
        <f>R178+R179</f>
        <v>8.6001229001400004E-2</v>
      </c>
      <c r="T178" s="987">
        <f>E178*S178</f>
        <v>1.5480221220252002</v>
      </c>
      <c r="U178" s="1112">
        <f>R179*E178</f>
        <v>0.29445532202520008</v>
      </c>
      <c r="V178" s="156"/>
      <c r="W178" s="239"/>
      <c r="X178" s="209"/>
      <c r="Y178" s="209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335"/>
    </row>
    <row r="179" spans="1:39" s="723" customFormat="1" ht="14.25" customHeight="1">
      <c r="A179" s="1007"/>
      <c r="B179" s="1010"/>
      <c r="C179" s="1198"/>
      <c r="D179" s="1016"/>
      <c r="E179" s="1200"/>
      <c r="F179" s="993">
        <f>F178*J$13/1000</f>
        <v>6.9642599999999999E-2</v>
      </c>
      <c r="G179" s="994"/>
      <c r="H179" s="995"/>
      <c r="I179" s="1207">
        <f>I178*$Q$13/1000</f>
        <v>0</v>
      </c>
      <c r="J179" s="1208"/>
      <c r="K179" s="1209"/>
      <c r="L179" s="337" t="s">
        <v>369</v>
      </c>
      <c r="M179" s="243" t="s">
        <v>483</v>
      </c>
      <c r="N179" s="338">
        <v>9.4E-2</v>
      </c>
      <c r="O179" s="247">
        <f>E178*N179</f>
        <v>1.6919999999999999</v>
      </c>
      <c r="P179" s="240">
        <v>0.151</v>
      </c>
      <c r="Q179" s="245">
        <f>N179*P179*$N$11</f>
        <v>1.6358629001400005E-2</v>
      </c>
      <c r="R179" s="755">
        <f>SUM(Q179:Q179)</f>
        <v>1.6358629001400005E-2</v>
      </c>
      <c r="S179" s="989"/>
      <c r="T179" s="989"/>
      <c r="U179" s="1113"/>
      <c r="V179" s="156"/>
      <c r="W179" s="239"/>
      <c r="X179" s="209"/>
      <c r="Y179" s="209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335"/>
    </row>
    <row r="180" spans="1:39" s="860" customFormat="1" ht="15" customHeight="1">
      <c r="A180" s="1227" t="s">
        <v>478</v>
      </c>
      <c r="B180" s="1228"/>
      <c r="C180" s="1229"/>
      <c r="D180" s="1229"/>
      <c r="E180" s="1229"/>
      <c r="F180" s="1230"/>
      <c r="G180" s="870"/>
      <c r="H180" s="665"/>
      <c r="I180" s="665"/>
      <c r="J180" s="665"/>
      <c r="K180" s="665"/>
      <c r="L180" s="666"/>
      <c r="M180" s="665"/>
      <c r="N180" s="665"/>
      <c r="O180" s="665"/>
      <c r="P180" s="665"/>
      <c r="Q180" s="665"/>
      <c r="R180" s="665"/>
      <c r="S180" s="665"/>
      <c r="T180" s="665"/>
      <c r="U180" s="665"/>
      <c r="V180" s="666"/>
      <c r="W180" s="666"/>
      <c r="X180" s="666"/>
      <c r="Y180" s="666"/>
      <c r="Z180" s="666"/>
      <c r="AA180" s="666"/>
      <c r="AB180" s="666"/>
      <c r="AC180" s="666"/>
      <c r="AD180" s="666"/>
      <c r="AE180" s="666"/>
    </row>
    <row r="181" spans="1:39" s="861" customFormat="1" ht="12.75" customHeight="1">
      <c r="A181" s="1231">
        <f>+A178+1</f>
        <v>60</v>
      </c>
      <c r="B181" s="1234" t="s">
        <v>473</v>
      </c>
      <c r="C181" s="1236" t="s">
        <v>474</v>
      </c>
      <c r="D181" s="1231" t="s">
        <v>184</v>
      </c>
      <c r="E181" s="1238">
        <v>1.38</v>
      </c>
      <c r="F181" s="1020">
        <v>5.89</v>
      </c>
      <c r="G181" s="1020"/>
      <c r="H181" s="1020"/>
      <c r="I181" s="1271">
        <v>7.14</v>
      </c>
      <c r="J181" s="1271"/>
      <c r="K181" s="1271"/>
      <c r="L181" s="871"/>
      <c r="M181" s="803"/>
      <c r="N181" s="803"/>
      <c r="O181" s="872"/>
      <c r="P181" s="803"/>
      <c r="Q181" s="769"/>
      <c r="R181" s="758">
        <f>F182+I182</f>
        <v>36.775793399999998</v>
      </c>
      <c r="S181" s="1027">
        <f>R181+R182</f>
        <v>138.96457370712963</v>
      </c>
      <c r="T181" s="1020">
        <f>E181*S181</f>
        <v>191.77111171583888</v>
      </c>
      <c r="U181" s="1144">
        <f>R182*E181</f>
        <v>141.02051682383888</v>
      </c>
      <c r="V181" s="156"/>
      <c r="W181" s="566"/>
      <c r="X181" s="566"/>
      <c r="Y181" s="566"/>
      <c r="Z181" s="566"/>
      <c r="AA181" s="566"/>
      <c r="AB181" s="566"/>
      <c r="AC181" s="566"/>
      <c r="AD181" s="566"/>
      <c r="AE181" s="566"/>
    </row>
    <row r="182" spans="1:39" s="861" customFormat="1" ht="12.75" customHeight="1">
      <c r="A182" s="1232"/>
      <c r="B182" s="1235"/>
      <c r="C182" s="1237"/>
      <c r="D182" s="1232"/>
      <c r="E182" s="1239"/>
      <c r="F182" s="1020">
        <f>F181*J$13/1000</f>
        <v>13.764929999999998</v>
      </c>
      <c r="G182" s="1020"/>
      <c r="H182" s="1020"/>
      <c r="I182" s="1020">
        <f>I181*$Q$13/1000</f>
        <v>23.010863399999998</v>
      </c>
      <c r="J182" s="1020"/>
      <c r="K182" s="1020"/>
      <c r="L182" s="873" t="s">
        <v>475</v>
      </c>
      <c r="M182" s="874" t="s">
        <v>184</v>
      </c>
      <c r="N182" s="874">
        <v>1</v>
      </c>
      <c r="O182" s="875">
        <f>E181*N182</f>
        <v>1.38</v>
      </c>
      <c r="P182" s="876">
        <v>63.1</v>
      </c>
      <c r="Q182" s="877">
        <f>N182*P182*$N$11</f>
        <v>72.722945610000025</v>
      </c>
      <c r="R182" s="1020">
        <f>SUM(Q182:Q184)</f>
        <v>102.18878030712963</v>
      </c>
      <c r="S182" s="1027"/>
      <c r="T182" s="1020"/>
      <c r="U182" s="1144"/>
      <c r="V182" s="156"/>
      <c r="W182" s="566"/>
      <c r="X182" s="566"/>
      <c r="Y182" s="566"/>
      <c r="Z182" s="566"/>
      <c r="AA182" s="566"/>
      <c r="AB182" s="566"/>
      <c r="AC182" s="566"/>
      <c r="AD182" s="566"/>
      <c r="AE182" s="566"/>
    </row>
    <row r="183" spans="1:39" s="861" customFormat="1" ht="12.75" customHeight="1">
      <c r="A183" s="1232"/>
      <c r="B183" s="1235"/>
      <c r="C183" s="1237"/>
      <c r="D183" s="1232"/>
      <c r="E183" s="1239"/>
      <c r="F183" s="1020"/>
      <c r="G183" s="1020"/>
      <c r="H183" s="1020"/>
      <c r="I183" s="1020"/>
      <c r="J183" s="1020"/>
      <c r="K183" s="1020"/>
      <c r="L183" s="878" t="s">
        <v>479</v>
      </c>
      <c r="M183" s="879" t="s">
        <v>184</v>
      </c>
      <c r="N183" s="879">
        <v>0.157</v>
      </c>
      <c r="O183" s="880">
        <f>E181*N183</f>
        <v>0.21665999999999999</v>
      </c>
      <c r="P183" s="881">
        <v>24.7</v>
      </c>
      <c r="Q183" s="882">
        <f>N183*P183*$N$11</f>
        <v>4.4692917714900009</v>
      </c>
      <c r="R183" s="1020"/>
      <c r="S183" s="1027"/>
      <c r="T183" s="1020"/>
      <c r="U183" s="1144"/>
      <c r="V183" s="156"/>
      <c r="W183" s="566"/>
      <c r="X183" s="566"/>
      <c r="Y183" s="566"/>
      <c r="Z183" s="566"/>
      <c r="AA183" s="566"/>
      <c r="AB183" s="566"/>
      <c r="AC183" s="566"/>
      <c r="AD183" s="566"/>
      <c r="AE183" s="566"/>
    </row>
    <row r="184" spans="1:39" s="861" customFormat="1" ht="12.75" customHeight="1">
      <c r="A184" s="1233"/>
      <c r="B184" s="1235"/>
      <c r="C184" s="1237"/>
      <c r="D184" s="1232"/>
      <c r="E184" s="1239"/>
      <c r="F184" s="1020"/>
      <c r="G184" s="1020"/>
      <c r="H184" s="1020"/>
      <c r="I184" s="1020"/>
      <c r="J184" s="1020"/>
      <c r="K184" s="1020"/>
      <c r="L184" s="883" t="s">
        <v>262</v>
      </c>
      <c r="M184" s="884" t="s">
        <v>326</v>
      </c>
      <c r="N184" s="884">
        <v>6.0999999999999999E-2</v>
      </c>
      <c r="O184" s="885">
        <f>E181*N184</f>
        <v>8.4179999999999991E-2</v>
      </c>
      <c r="P184" s="886">
        <v>355.55599999999998</v>
      </c>
      <c r="Q184" s="768">
        <f>N184*P184*$N$11</f>
        <v>24.996542925639606</v>
      </c>
      <c r="R184" s="1020"/>
      <c r="S184" s="1027"/>
      <c r="T184" s="1020"/>
      <c r="U184" s="1144"/>
      <c r="V184" s="156"/>
      <c r="W184" s="566"/>
      <c r="X184" s="566"/>
      <c r="Y184" s="566"/>
      <c r="Z184" s="566"/>
      <c r="AA184" s="566"/>
      <c r="AB184" s="566"/>
      <c r="AC184" s="566"/>
      <c r="AD184" s="566"/>
      <c r="AE184" s="566"/>
    </row>
    <row r="185" spans="1:39" s="744" customFormat="1" ht="12.75" customHeight="1">
      <c r="A185" s="1272">
        <f>+A181+1</f>
        <v>61</v>
      </c>
      <c r="B185" s="1008" t="s">
        <v>476</v>
      </c>
      <c r="C185" s="1011" t="s">
        <v>480</v>
      </c>
      <c r="D185" s="1014" t="s">
        <v>164</v>
      </c>
      <c r="E185" s="1055">
        <v>2</v>
      </c>
      <c r="F185" s="1274"/>
      <c r="G185" s="1275"/>
      <c r="H185" s="1276"/>
      <c r="I185" s="1277"/>
      <c r="J185" s="1278"/>
      <c r="K185" s="1279"/>
      <c r="L185" s="336"/>
      <c r="M185" s="638"/>
      <c r="N185" s="756"/>
      <c r="O185" s="756"/>
      <c r="P185" s="756"/>
      <c r="Q185" s="749"/>
      <c r="R185" s="887">
        <f>F186+I186</f>
        <v>0</v>
      </c>
      <c r="S185" s="987">
        <f>R185+R186</f>
        <v>57.625155000000014</v>
      </c>
      <c r="T185" s="987">
        <f>E185*S185</f>
        <v>115.25031000000003</v>
      </c>
      <c r="U185" s="1112">
        <f>R186*E185</f>
        <v>115.25031000000003</v>
      </c>
      <c r="V185" s="888"/>
      <c r="W185" s="889"/>
      <c r="X185" s="239"/>
      <c r="Y185" s="239"/>
      <c r="Z185" s="156"/>
      <c r="AA185" s="156"/>
      <c r="AB185" s="156"/>
      <c r="AC185" s="156"/>
      <c r="AD185" s="156"/>
      <c r="AE185" s="156"/>
    </row>
    <row r="186" spans="1:39" s="744" customFormat="1" ht="12.75" customHeight="1">
      <c r="A186" s="1273"/>
      <c r="B186" s="1010"/>
      <c r="C186" s="1013"/>
      <c r="D186" s="1016"/>
      <c r="E186" s="1056"/>
      <c r="F186" s="1280"/>
      <c r="G186" s="1281"/>
      <c r="H186" s="1282"/>
      <c r="I186" s="1283"/>
      <c r="J186" s="1284"/>
      <c r="K186" s="1285"/>
      <c r="L186" s="357" t="s">
        <v>480</v>
      </c>
      <c r="M186" s="243" t="s">
        <v>164</v>
      </c>
      <c r="N186" s="338">
        <v>1</v>
      </c>
      <c r="O186" s="247">
        <f>E185*N186</f>
        <v>2</v>
      </c>
      <c r="P186" s="338">
        <v>50</v>
      </c>
      <c r="Q186" s="245">
        <f>N186*P186*$N$11</f>
        <v>57.625155000000014</v>
      </c>
      <c r="R186" s="750">
        <f>SUM(Q186:Q186)</f>
        <v>57.625155000000014</v>
      </c>
      <c r="S186" s="989"/>
      <c r="T186" s="989"/>
      <c r="U186" s="1113"/>
      <c r="V186" s="888"/>
      <c r="W186" s="889"/>
      <c r="X186" s="239"/>
      <c r="Y186" s="239"/>
      <c r="Z186" s="156"/>
      <c r="AA186" s="156"/>
      <c r="AB186" s="156"/>
      <c r="AC186" s="156"/>
      <c r="AD186" s="156"/>
      <c r="AE186" s="156"/>
    </row>
    <row r="187" spans="1:39" s="569" customFormat="1" ht="18.75" customHeight="1">
      <c r="A187" s="1240">
        <f>+A185+1</f>
        <v>62</v>
      </c>
      <c r="B187" s="1135" t="s">
        <v>345</v>
      </c>
      <c r="C187" s="1137" t="s">
        <v>346</v>
      </c>
      <c r="D187" s="984" t="s">
        <v>326</v>
      </c>
      <c r="E187" s="1243">
        <f>17.9/1000</f>
        <v>1.7899999999999999E-2</v>
      </c>
      <c r="F187" s="1246">
        <v>13.8</v>
      </c>
      <c r="G187" s="1247"/>
      <c r="H187" s="1248"/>
      <c r="I187" s="1249">
        <v>32.1</v>
      </c>
      <c r="J187" s="1250"/>
      <c r="K187" s="1251"/>
      <c r="L187" s="339"/>
      <c r="M187" s="638"/>
      <c r="N187" s="466"/>
      <c r="O187" s="756"/>
      <c r="P187" s="756"/>
      <c r="Q187" s="749"/>
      <c r="R187" s="650">
        <f>F188+I188</f>
        <v>135.70280100000002</v>
      </c>
      <c r="S187" s="1252">
        <f>R187+R188</f>
        <v>673.51929461748</v>
      </c>
      <c r="T187" s="1252">
        <f>E187*S187</f>
        <v>12.055995373652891</v>
      </c>
      <c r="U187" s="1255">
        <f>R188*E187</f>
        <v>9.6269152357528913</v>
      </c>
      <c r="V187" s="636"/>
      <c r="W187" s="636"/>
      <c r="X187" s="636"/>
      <c r="Y187" s="637"/>
      <c r="Z187" s="637"/>
      <c r="AA187" s="637"/>
      <c r="AB187" s="637"/>
      <c r="AC187" s="637"/>
      <c r="AD187" s="637"/>
      <c r="AE187" s="637"/>
      <c r="AF187" s="637"/>
      <c r="AG187" s="637"/>
      <c r="AH187" s="637"/>
      <c r="AI187" s="637"/>
      <c r="AJ187" s="637"/>
      <c r="AK187" s="637"/>
    </row>
    <row r="188" spans="1:39" s="569" customFormat="1" ht="23.25" customHeight="1">
      <c r="A188" s="1241"/>
      <c r="B188" s="1136"/>
      <c r="C188" s="1138"/>
      <c r="D188" s="985"/>
      <c r="E188" s="1244"/>
      <c r="F188" s="1258">
        <f>F187*J$13/1000</f>
        <v>32.250600000000006</v>
      </c>
      <c r="G188" s="1259"/>
      <c r="H188" s="1260"/>
      <c r="I188" s="1258">
        <f>I187*$Q$13/1000</f>
        <v>103.452201</v>
      </c>
      <c r="J188" s="1259"/>
      <c r="K188" s="1260"/>
      <c r="L188" s="342" t="s">
        <v>347</v>
      </c>
      <c r="M188" s="250" t="s">
        <v>326</v>
      </c>
      <c r="N188" s="265">
        <v>1</v>
      </c>
      <c r="O188" s="340">
        <f>E187*N188</f>
        <v>1.7899999999999999E-2</v>
      </c>
      <c r="P188" s="341">
        <v>450</v>
      </c>
      <c r="Q188" s="233">
        <f>N188*P188*$N$11</f>
        <v>518.62639500000012</v>
      </c>
      <c r="R188" s="1252">
        <f>SUM(Q188:Q191)</f>
        <v>537.81649361747998</v>
      </c>
      <c r="S188" s="1253"/>
      <c r="T188" s="1253"/>
      <c r="U188" s="1256"/>
      <c r="V188" s="636"/>
      <c r="W188" s="636"/>
      <c r="X188" s="636"/>
      <c r="Y188" s="637"/>
      <c r="Z188" s="637"/>
      <c r="AA188" s="637"/>
      <c r="AB188" s="637"/>
      <c r="AC188" s="637"/>
      <c r="AD188" s="637"/>
      <c r="AE188" s="637"/>
      <c r="AF188" s="637"/>
      <c r="AG188" s="637"/>
      <c r="AH188" s="637"/>
      <c r="AI188" s="637"/>
      <c r="AJ188" s="637"/>
      <c r="AK188" s="637"/>
    </row>
    <row r="189" spans="1:39" s="569" customFormat="1" ht="12.75" customHeight="1">
      <c r="A189" s="1241"/>
      <c r="B189" s="1136"/>
      <c r="C189" s="1138"/>
      <c r="D189" s="985"/>
      <c r="E189" s="1244"/>
      <c r="F189" s="1261"/>
      <c r="G189" s="1262"/>
      <c r="H189" s="1263"/>
      <c r="I189" s="1261"/>
      <c r="J189" s="1262"/>
      <c r="K189" s="1263"/>
      <c r="L189" s="651" t="s">
        <v>348</v>
      </c>
      <c r="M189" s="260" t="s">
        <v>124</v>
      </c>
      <c r="N189" s="407">
        <v>1</v>
      </c>
      <c r="O189" s="261">
        <f>E187*N189</f>
        <v>1.7899999999999999E-2</v>
      </c>
      <c r="P189" s="237">
        <v>0.45</v>
      </c>
      <c r="Q189" s="262">
        <f>N189*P189*$N$11</f>
        <v>0.51862639500000018</v>
      </c>
      <c r="R189" s="1253"/>
      <c r="S189" s="1253"/>
      <c r="T189" s="1253"/>
      <c r="U189" s="1256"/>
      <c r="V189" s="636"/>
      <c r="W189" s="636"/>
      <c r="X189" s="636"/>
      <c r="Y189" s="637"/>
      <c r="Z189" s="637"/>
      <c r="AA189" s="637"/>
      <c r="AB189" s="637"/>
      <c r="AC189" s="637"/>
      <c r="AD189" s="637"/>
      <c r="AE189" s="637"/>
      <c r="AF189" s="637"/>
      <c r="AG189" s="637"/>
      <c r="AH189" s="637"/>
      <c r="AI189" s="637"/>
      <c r="AJ189" s="637"/>
      <c r="AK189" s="637"/>
    </row>
    <row r="190" spans="1:39" s="569" customFormat="1" ht="12.75" customHeight="1">
      <c r="A190" s="1241"/>
      <c r="B190" s="1136"/>
      <c r="C190" s="1138"/>
      <c r="D190" s="985"/>
      <c r="E190" s="1244"/>
      <c r="F190" s="1261"/>
      <c r="G190" s="1262"/>
      <c r="H190" s="1263"/>
      <c r="I190" s="1261"/>
      <c r="J190" s="1262"/>
      <c r="K190" s="1263"/>
      <c r="L190" s="652" t="s">
        <v>349</v>
      </c>
      <c r="M190" s="653" t="s">
        <v>124</v>
      </c>
      <c r="N190" s="654">
        <v>13.4</v>
      </c>
      <c r="O190" s="655">
        <f>E187*N190</f>
        <v>0.23985999999999999</v>
      </c>
      <c r="P190" s="656">
        <v>1</v>
      </c>
      <c r="Q190" s="657">
        <f>N190*P190*$N$11</f>
        <v>15.443541540000005</v>
      </c>
      <c r="R190" s="1253"/>
      <c r="S190" s="1253"/>
      <c r="T190" s="1253"/>
      <c r="U190" s="1256"/>
      <c r="V190" s="636"/>
      <c r="W190" s="636"/>
      <c r="X190" s="636"/>
      <c r="Y190" s="637"/>
      <c r="Z190" s="637"/>
      <c r="AA190" s="637"/>
      <c r="AB190" s="637"/>
      <c r="AC190" s="637"/>
      <c r="AD190" s="637"/>
      <c r="AE190" s="637"/>
      <c r="AF190" s="637"/>
      <c r="AG190" s="637"/>
      <c r="AH190" s="637"/>
      <c r="AI190" s="637"/>
      <c r="AJ190" s="637"/>
      <c r="AK190" s="637"/>
    </row>
    <row r="191" spans="1:39" s="569" customFormat="1" ht="12.75" customHeight="1">
      <c r="A191" s="1242"/>
      <c r="B191" s="1211"/>
      <c r="C191" s="1139"/>
      <c r="D191" s="986"/>
      <c r="E191" s="1245"/>
      <c r="F191" s="1264"/>
      <c r="G191" s="1265"/>
      <c r="H191" s="1266"/>
      <c r="I191" s="1264"/>
      <c r="J191" s="1265"/>
      <c r="K191" s="1266"/>
      <c r="L191" s="343" t="s">
        <v>190</v>
      </c>
      <c r="M191" s="457" t="s">
        <v>124</v>
      </c>
      <c r="N191" s="467">
        <v>2.4</v>
      </c>
      <c r="O191" s="256">
        <f>E187*N191</f>
        <v>4.2959999999999998E-2</v>
      </c>
      <c r="P191" s="658">
        <v>1.167</v>
      </c>
      <c r="Q191" s="258">
        <f>N191*P191*$N$11</f>
        <v>3.2279306824800011</v>
      </c>
      <c r="R191" s="1254"/>
      <c r="S191" s="1254"/>
      <c r="T191" s="1254"/>
      <c r="U191" s="1257"/>
      <c r="V191" s="636"/>
      <c r="W191" s="636"/>
      <c r="X191" s="636"/>
      <c r="Y191" s="637"/>
      <c r="Z191" s="637"/>
      <c r="AA191" s="637"/>
      <c r="AB191" s="637"/>
      <c r="AC191" s="637"/>
      <c r="AD191" s="637"/>
      <c r="AE191" s="637"/>
      <c r="AF191" s="637"/>
      <c r="AG191" s="637"/>
      <c r="AH191" s="637"/>
      <c r="AI191" s="637"/>
      <c r="AJ191" s="637"/>
      <c r="AK191" s="637"/>
    </row>
    <row r="192" spans="1:39" s="156" customFormat="1" ht="12" customHeight="1">
      <c r="A192" s="1005">
        <f>+A187+1</f>
        <v>63</v>
      </c>
      <c r="B192" s="1008" t="s">
        <v>360</v>
      </c>
      <c r="C192" s="1011" t="s">
        <v>477</v>
      </c>
      <c r="D192" s="1014" t="s">
        <v>326</v>
      </c>
      <c r="E192" s="1267">
        <v>5.8000000000000003E-2</v>
      </c>
      <c r="F192" s="993">
        <v>19.399999999999999</v>
      </c>
      <c r="G192" s="994"/>
      <c r="H192" s="995"/>
      <c r="I192" s="993">
        <v>4</v>
      </c>
      <c r="J192" s="994"/>
      <c r="K192" s="995"/>
      <c r="L192" s="339"/>
      <c r="M192" s="638"/>
      <c r="N192" s="756"/>
      <c r="O192" s="748"/>
      <c r="P192" s="756"/>
      <c r="Q192" s="749"/>
      <c r="R192" s="755">
        <f>F193+I193</f>
        <v>58.229039999999998</v>
      </c>
      <c r="S192" s="987">
        <f>R192+R193</f>
        <v>599.9054970000002</v>
      </c>
      <c r="T192" s="1027">
        <f>E192*S192</f>
        <v>34.794518826000015</v>
      </c>
      <c r="U192" s="1270">
        <f>R193*E192</f>
        <v>31.41723450600001</v>
      </c>
      <c r="V192" s="670"/>
      <c r="W192" s="703"/>
      <c r="X192" s="703"/>
      <c r="Y192" s="239"/>
    </row>
    <row r="193" spans="1:256" s="156" customFormat="1" ht="13.5" customHeight="1">
      <c r="A193" s="1006"/>
      <c r="B193" s="1009"/>
      <c r="C193" s="1012"/>
      <c r="D193" s="1015"/>
      <c r="E193" s="1268"/>
      <c r="F193" s="1164">
        <f>F192*J$13/1000</f>
        <v>45.337799999999994</v>
      </c>
      <c r="G193" s="1165"/>
      <c r="H193" s="1166"/>
      <c r="I193" s="1164">
        <f>I192*$Q$13/1000</f>
        <v>12.89124</v>
      </c>
      <c r="J193" s="1165"/>
      <c r="K193" s="1166"/>
      <c r="L193" s="890" t="s">
        <v>348</v>
      </c>
      <c r="M193" s="250" t="s">
        <v>326</v>
      </c>
      <c r="N193" s="891">
        <v>1</v>
      </c>
      <c r="O193" s="265">
        <f>E192*N193</f>
        <v>5.8000000000000003E-2</v>
      </c>
      <c r="P193" s="250">
        <v>450</v>
      </c>
      <c r="Q193" s="233">
        <f>N193*P193*$N$11</f>
        <v>518.62639500000012</v>
      </c>
      <c r="R193" s="987">
        <f>SUM(Q193:Q194)</f>
        <v>541.67645700000014</v>
      </c>
      <c r="S193" s="988"/>
      <c r="T193" s="1027"/>
      <c r="U193" s="1270"/>
      <c r="V193" s="670"/>
      <c r="W193" s="703"/>
      <c r="X193" s="703"/>
      <c r="Y193" s="239"/>
    </row>
    <row r="194" spans="1:256" s="569" customFormat="1" ht="12.75" customHeight="1">
      <c r="A194" s="1007"/>
      <c r="B194" s="1010"/>
      <c r="C194" s="1013"/>
      <c r="D194" s="1016"/>
      <c r="E194" s="1269"/>
      <c r="F194" s="1225"/>
      <c r="G194" s="1226"/>
      <c r="H194" s="1167"/>
      <c r="I194" s="1225"/>
      <c r="J194" s="1226"/>
      <c r="K194" s="1167"/>
      <c r="L194" s="892" t="s">
        <v>190</v>
      </c>
      <c r="M194" s="893" t="s">
        <v>124</v>
      </c>
      <c r="N194" s="894">
        <v>20</v>
      </c>
      <c r="O194" s="895">
        <f>E192*N194</f>
        <v>1.1600000000000001</v>
      </c>
      <c r="P194" s="896">
        <v>1</v>
      </c>
      <c r="Q194" s="897">
        <f>N194*P194*$N$11</f>
        <v>23.050062000000008</v>
      </c>
      <c r="R194" s="989"/>
      <c r="S194" s="989"/>
      <c r="T194" s="1027"/>
      <c r="U194" s="1270"/>
      <c r="V194" s="636"/>
      <c r="W194" s="636"/>
      <c r="X194" s="636"/>
      <c r="Y194" s="637"/>
      <c r="Z194" s="637"/>
      <c r="AA194" s="637"/>
      <c r="AB194" s="637"/>
      <c r="AC194" s="637"/>
      <c r="AD194" s="637"/>
      <c r="AE194" s="637"/>
      <c r="AF194" s="637"/>
      <c r="AG194" s="637"/>
      <c r="AH194" s="637"/>
      <c r="AI194" s="637"/>
      <c r="AJ194" s="637"/>
      <c r="AK194" s="637"/>
    </row>
    <row r="195" spans="1:256" s="711" customFormat="1" ht="12.75" customHeight="1">
      <c r="A195" s="1149">
        <f>+A192+1</f>
        <v>64</v>
      </c>
      <c r="B195" s="1217" t="s">
        <v>432</v>
      </c>
      <c r="C195" s="1218" t="s">
        <v>433</v>
      </c>
      <c r="D195" s="1014" t="s">
        <v>122</v>
      </c>
      <c r="E195" s="987">
        <v>2.5</v>
      </c>
      <c r="F195" s="1193">
        <f>4.1/100</f>
        <v>4.0999999999999995E-2</v>
      </c>
      <c r="G195" s="1194"/>
      <c r="H195" s="1195"/>
      <c r="I195" s="1193">
        <f>0.4/100</f>
        <v>4.0000000000000001E-3</v>
      </c>
      <c r="J195" s="1194"/>
      <c r="K195" s="1195"/>
      <c r="L195" s="266"/>
      <c r="M195" s="638"/>
      <c r="N195" s="705"/>
      <c r="O195" s="705"/>
      <c r="P195" s="705"/>
      <c r="Q195" s="706"/>
      <c r="R195" s="707">
        <f>F196+I196</f>
        <v>0.10870824</v>
      </c>
      <c r="S195" s="1219">
        <f>R195+R196</f>
        <v>0.20514286976000001</v>
      </c>
      <c r="T195" s="1219">
        <f>E195*S195</f>
        <v>0.5128571744</v>
      </c>
      <c r="U195" s="1222">
        <f>+R196*E195</f>
        <v>0.24108657440000009</v>
      </c>
      <c r="V195" s="708"/>
      <c r="W195" s="708"/>
      <c r="X195" s="709"/>
      <c r="Y195" s="209"/>
      <c r="Z195" s="209"/>
      <c r="AA195" s="209"/>
      <c r="AB195" s="209"/>
      <c r="AC195" s="209"/>
      <c r="AD195" s="209"/>
      <c r="AE195" s="667"/>
      <c r="AF195" s="667"/>
      <c r="AG195" s="667"/>
      <c r="AH195" s="667"/>
      <c r="AI195" s="667"/>
      <c r="AJ195" s="667"/>
      <c r="AK195" s="667"/>
      <c r="AL195" s="710"/>
    </row>
    <row r="196" spans="1:256" s="711" customFormat="1" ht="12.75" customHeight="1">
      <c r="A196" s="1149"/>
      <c r="B196" s="1217"/>
      <c r="C196" s="1218"/>
      <c r="D196" s="1015"/>
      <c r="E196" s="988"/>
      <c r="F196" s="1164">
        <f>F195*J$13/1000</f>
        <v>9.5816999999999999E-2</v>
      </c>
      <c r="G196" s="1165"/>
      <c r="H196" s="1166"/>
      <c r="I196" s="1164">
        <f>I195*$Q$13/1000</f>
        <v>1.289124E-2</v>
      </c>
      <c r="J196" s="1165"/>
      <c r="K196" s="1166"/>
      <c r="L196" s="342" t="s">
        <v>128</v>
      </c>
      <c r="M196" s="250" t="s">
        <v>124</v>
      </c>
      <c r="N196" s="712">
        <v>0.03</v>
      </c>
      <c r="O196" s="713">
        <f>E195*N196</f>
        <v>7.4999999999999997E-2</v>
      </c>
      <c r="P196" s="341">
        <f>0.542*2</f>
        <v>1.0840000000000001</v>
      </c>
      <c r="Q196" s="714">
        <f>N196*P196*$N$11</f>
        <v>3.7479400812000012E-2</v>
      </c>
      <c r="R196" s="1219">
        <f>SUM(Q196:Q197)</f>
        <v>9.6434629760000029E-2</v>
      </c>
      <c r="S196" s="1220"/>
      <c r="T196" s="1220"/>
      <c r="U196" s="1223"/>
      <c r="V196" s="708"/>
      <c r="W196" s="708"/>
      <c r="X196" s="709"/>
      <c r="Y196" s="209"/>
      <c r="Z196" s="209"/>
      <c r="AA196" s="209"/>
      <c r="AB196" s="209"/>
      <c r="AC196" s="209"/>
      <c r="AD196" s="209"/>
      <c r="AE196" s="667"/>
      <c r="AF196" s="667"/>
      <c r="AG196" s="667"/>
      <c r="AH196" s="667"/>
      <c r="AI196" s="667"/>
      <c r="AJ196" s="667"/>
      <c r="AK196" s="667"/>
      <c r="AL196" s="710"/>
    </row>
    <row r="197" spans="1:256" s="711" customFormat="1" ht="12.75" customHeight="1">
      <c r="A197" s="1149"/>
      <c r="B197" s="1217"/>
      <c r="C197" s="1218"/>
      <c r="D197" s="1016"/>
      <c r="E197" s="989"/>
      <c r="F197" s="1225"/>
      <c r="G197" s="1226"/>
      <c r="H197" s="1167"/>
      <c r="I197" s="1225"/>
      <c r="J197" s="1226"/>
      <c r="K197" s="1167"/>
      <c r="L197" s="343" t="s">
        <v>435</v>
      </c>
      <c r="M197" s="254" t="s">
        <v>124</v>
      </c>
      <c r="N197" s="715">
        <f>17.2/100</f>
        <v>0.17199999999999999</v>
      </c>
      <c r="O197" s="716">
        <f>E195*N197</f>
        <v>0.42999999999999994</v>
      </c>
      <c r="P197" s="355">
        <f>0.803/2.7</f>
        <v>0.2974074074074074</v>
      </c>
      <c r="Q197" s="717">
        <f>N197*P197*$N$11</f>
        <v>5.895522894800001E-2</v>
      </c>
      <c r="R197" s="1221"/>
      <c r="S197" s="1221"/>
      <c r="T197" s="1221"/>
      <c r="U197" s="1224"/>
      <c r="V197" s="718"/>
      <c r="W197" s="718"/>
      <c r="X197" s="709"/>
      <c r="Y197" s="209"/>
      <c r="Z197" s="209"/>
      <c r="AA197" s="209"/>
      <c r="AB197" s="209"/>
      <c r="AC197" s="209"/>
      <c r="AD197" s="209"/>
      <c r="AE197" s="667"/>
      <c r="AF197" s="667"/>
      <c r="AG197" s="667"/>
      <c r="AH197" s="667"/>
      <c r="AI197" s="667"/>
      <c r="AJ197" s="667"/>
      <c r="AK197" s="667"/>
      <c r="AL197" s="710"/>
    </row>
    <row r="198" spans="1:256" s="721" customFormat="1" ht="12.75" customHeight="1">
      <c r="A198" s="1133">
        <f>+A195+1</f>
        <v>65</v>
      </c>
      <c r="B198" s="1135" t="s">
        <v>362</v>
      </c>
      <c r="C198" s="1137" t="s">
        <v>363</v>
      </c>
      <c r="D198" s="1140" t="s">
        <v>122</v>
      </c>
      <c r="E198" s="1142">
        <f>+E195</f>
        <v>2.5</v>
      </c>
      <c r="F198" s="1148">
        <v>0.38400000000000001</v>
      </c>
      <c r="G198" s="1148"/>
      <c r="H198" s="1148"/>
      <c r="I198" s="1214">
        <f>0.03/100</f>
        <v>2.9999999999999997E-4</v>
      </c>
      <c r="J198" s="1215"/>
      <c r="K198" s="1216"/>
      <c r="L198" s="339"/>
      <c r="M198" s="638"/>
      <c r="N198" s="466"/>
      <c r="O198" s="756"/>
      <c r="P198" s="756"/>
      <c r="Q198" s="749"/>
      <c r="R198" s="758">
        <f>F199+I199</f>
        <v>0.89837484300000003</v>
      </c>
      <c r="S198" s="1020">
        <f>R198+R199</f>
        <v>1.2786904934721002</v>
      </c>
      <c r="T198" s="1020">
        <f>E198*S198</f>
        <v>3.1967262336802502</v>
      </c>
      <c r="U198" s="1144">
        <f>R199*E198</f>
        <v>0.95078912618025035</v>
      </c>
      <c r="V198" s="720"/>
      <c r="W198" s="720"/>
      <c r="X198" s="709"/>
      <c r="Y198" s="209"/>
      <c r="Z198" s="209"/>
      <c r="AA198" s="209"/>
      <c r="AB198" s="209"/>
      <c r="AC198" s="209"/>
      <c r="AD198" s="209"/>
      <c r="AE198" s="667"/>
      <c r="AF198" s="667"/>
      <c r="AG198" s="667"/>
      <c r="AH198" s="667"/>
      <c r="AI198" s="667"/>
      <c r="AJ198" s="667"/>
      <c r="AK198" s="667"/>
    </row>
    <row r="199" spans="1:256" s="721" customFormat="1" ht="12.75" customHeight="1">
      <c r="A199" s="1134"/>
      <c r="B199" s="1136"/>
      <c r="C199" s="1138"/>
      <c r="D199" s="1141"/>
      <c r="E199" s="1143"/>
      <c r="F199" s="1148">
        <f>F198*J$13/1000</f>
        <v>0.89740799999999998</v>
      </c>
      <c r="G199" s="1148"/>
      <c r="H199" s="1148"/>
      <c r="I199" s="1148">
        <f>I198*$Q$13/1000</f>
        <v>9.6684299999999989E-4</v>
      </c>
      <c r="J199" s="1148"/>
      <c r="K199" s="1148"/>
      <c r="L199" s="342" t="s">
        <v>130</v>
      </c>
      <c r="M199" s="250" t="s">
        <v>124</v>
      </c>
      <c r="N199" s="265">
        <v>0.246</v>
      </c>
      <c r="O199" s="340">
        <f>E198*N199</f>
        <v>0.61499999999999999</v>
      </c>
      <c r="P199" s="341">
        <v>1.25</v>
      </c>
      <c r="Q199" s="233">
        <f>N199*P199*$N$11</f>
        <v>0.35439470325000011</v>
      </c>
      <c r="R199" s="1020">
        <f>SUM(Q199:Q200)</f>
        <v>0.38031565047210014</v>
      </c>
      <c r="S199" s="1020"/>
      <c r="T199" s="1020"/>
      <c r="U199" s="1144"/>
      <c r="V199" s="722" t="s">
        <v>364</v>
      </c>
      <c r="W199" s="720"/>
      <c r="X199" s="709"/>
      <c r="Y199" s="209"/>
      <c r="Z199" s="209"/>
      <c r="AA199" s="209"/>
      <c r="AB199" s="209"/>
      <c r="AC199" s="209"/>
      <c r="AD199" s="209"/>
      <c r="AE199" s="667"/>
      <c r="AF199" s="667"/>
      <c r="AG199" s="667"/>
      <c r="AH199" s="667"/>
      <c r="AI199" s="667"/>
      <c r="AJ199" s="667"/>
      <c r="AK199" s="667"/>
    </row>
    <row r="200" spans="1:256" s="721" customFormat="1" ht="12.75" customHeight="1">
      <c r="A200" s="1210"/>
      <c r="B200" s="1211"/>
      <c r="C200" s="1139"/>
      <c r="D200" s="1212"/>
      <c r="E200" s="1213"/>
      <c r="F200" s="1148"/>
      <c r="G200" s="1148"/>
      <c r="H200" s="1148"/>
      <c r="I200" s="1148"/>
      <c r="J200" s="1148"/>
      <c r="K200" s="1148"/>
      <c r="L200" s="343" t="s">
        <v>365</v>
      </c>
      <c r="M200" s="457" t="s">
        <v>124</v>
      </c>
      <c r="N200" s="467">
        <v>2.7E-2</v>
      </c>
      <c r="O200" s="256">
        <f>E198*N200</f>
        <v>6.7500000000000004E-2</v>
      </c>
      <c r="P200" s="355">
        <v>0.83299999999999996</v>
      </c>
      <c r="Q200" s="258">
        <f>N200*P200*$N$11</f>
        <v>2.5920947222100005E-2</v>
      </c>
      <c r="R200" s="1020"/>
      <c r="S200" s="1020"/>
      <c r="T200" s="1020"/>
      <c r="U200" s="1144"/>
      <c r="V200" s="720"/>
      <c r="W200" s="720"/>
      <c r="X200" s="709"/>
      <c r="Y200" s="209"/>
      <c r="Z200" s="209"/>
      <c r="AA200" s="209"/>
      <c r="AB200" s="209"/>
      <c r="AC200" s="209"/>
      <c r="AD200" s="209"/>
      <c r="AE200" s="667"/>
      <c r="AF200" s="667"/>
      <c r="AG200" s="667"/>
      <c r="AH200" s="667"/>
      <c r="AI200" s="667"/>
      <c r="AJ200" s="667"/>
      <c r="AK200" s="667"/>
    </row>
    <row r="201" spans="1:256" s="564" customFormat="1" ht="14.25" customHeight="1">
      <c r="B201" s="771"/>
      <c r="C201" s="831" t="s">
        <v>512</v>
      </c>
      <c r="D201" s="664"/>
      <c r="E201" s="664"/>
      <c r="F201" s="778"/>
      <c r="G201" s="665"/>
      <c r="H201" s="665"/>
      <c r="I201" s="665"/>
      <c r="J201" s="665"/>
      <c r="K201" s="665"/>
      <c r="L201" s="671"/>
      <c r="M201" s="665"/>
      <c r="N201" s="665"/>
      <c r="O201" s="665"/>
      <c r="P201" s="665"/>
      <c r="Q201" s="665"/>
      <c r="R201" s="665"/>
      <c r="S201" s="665"/>
      <c r="T201" s="672"/>
      <c r="U201" s="665"/>
      <c r="V201" s="831" t="s">
        <v>438</v>
      </c>
      <c r="W201" s="664"/>
      <c r="X201" s="665"/>
      <c r="Y201" s="666"/>
      <c r="Z201" s="666"/>
      <c r="AA201" s="666"/>
      <c r="AB201" s="666"/>
      <c r="AC201" s="666"/>
      <c r="AD201" s="666"/>
      <c r="AE201" s="666"/>
      <c r="AF201" s="666"/>
      <c r="AG201" s="666"/>
      <c r="AH201" s="666"/>
      <c r="AI201" s="666"/>
      <c r="AJ201" s="666"/>
      <c r="AK201" s="666"/>
      <c r="AL201" s="563"/>
      <c r="AM201" s="563"/>
      <c r="AN201" s="563"/>
      <c r="AO201" s="563"/>
      <c r="AP201" s="563"/>
      <c r="AQ201" s="563"/>
      <c r="AR201" s="563"/>
      <c r="AS201" s="563"/>
      <c r="AT201" s="563"/>
      <c r="AU201" s="563"/>
      <c r="AV201" s="563"/>
      <c r="AW201" s="563"/>
      <c r="AX201" s="563"/>
      <c r="AY201" s="563"/>
      <c r="AZ201" s="563"/>
      <c r="BA201" s="563"/>
      <c r="BB201" s="563"/>
      <c r="BC201" s="563"/>
      <c r="BD201" s="563"/>
      <c r="BE201" s="563"/>
      <c r="BF201" s="563"/>
      <c r="BG201" s="563"/>
      <c r="BH201" s="563"/>
      <c r="BI201" s="563"/>
      <c r="BJ201" s="563"/>
      <c r="BK201" s="563"/>
      <c r="BL201" s="563"/>
      <c r="BM201" s="563"/>
      <c r="BN201" s="563"/>
      <c r="BO201" s="563"/>
      <c r="BP201" s="563"/>
      <c r="BQ201" s="563"/>
      <c r="BR201" s="563"/>
      <c r="BS201" s="563"/>
      <c r="BT201" s="563"/>
      <c r="BU201" s="563"/>
      <c r="BV201" s="563"/>
      <c r="BW201" s="563"/>
      <c r="BX201" s="563"/>
      <c r="BY201" s="563"/>
      <c r="BZ201" s="563"/>
      <c r="CA201" s="563"/>
      <c r="CB201" s="563"/>
      <c r="CC201" s="563"/>
      <c r="CD201" s="563"/>
      <c r="CE201" s="563"/>
      <c r="CF201" s="563"/>
      <c r="CG201" s="563"/>
      <c r="CH201" s="563"/>
      <c r="CI201" s="563"/>
      <c r="CJ201" s="563"/>
      <c r="CK201" s="563"/>
      <c r="CL201" s="563"/>
      <c r="CM201" s="563"/>
      <c r="CN201" s="563"/>
      <c r="CO201" s="563"/>
      <c r="CP201" s="563"/>
      <c r="CQ201" s="563"/>
      <c r="CR201" s="563"/>
      <c r="CS201" s="563"/>
      <c r="CT201" s="563"/>
      <c r="CU201" s="563"/>
      <c r="CV201" s="563"/>
      <c r="CW201" s="563"/>
      <c r="CX201" s="563"/>
      <c r="CY201" s="563"/>
      <c r="CZ201" s="563"/>
      <c r="DA201" s="563"/>
      <c r="DB201" s="563"/>
      <c r="DC201" s="563"/>
      <c r="DD201" s="563"/>
      <c r="DE201" s="563"/>
      <c r="DF201" s="563"/>
      <c r="DG201" s="563"/>
      <c r="DH201" s="563"/>
      <c r="DI201" s="563"/>
      <c r="DJ201" s="563"/>
      <c r="DK201" s="563"/>
      <c r="DL201" s="563"/>
      <c r="DM201" s="563"/>
      <c r="DN201" s="563"/>
      <c r="DO201" s="563"/>
      <c r="DP201" s="563"/>
      <c r="DQ201" s="563"/>
      <c r="DR201" s="563"/>
      <c r="DS201" s="563"/>
      <c r="DT201" s="563"/>
      <c r="DU201" s="563"/>
      <c r="DV201" s="563"/>
      <c r="DW201" s="563"/>
      <c r="DX201" s="563"/>
      <c r="DY201" s="563"/>
      <c r="DZ201" s="563"/>
      <c r="EA201" s="563"/>
      <c r="EB201" s="563"/>
      <c r="EC201" s="563"/>
      <c r="ED201" s="563"/>
      <c r="EE201" s="563"/>
      <c r="EF201" s="563"/>
      <c r="EG201" s="563"/>
      <c r="EH201" s="563"/>
      <c r="EI201" s="563"/>
      <c r="EJ201" s="563"/>
      <c r="EK201" s="563"/>
      <c r="EL201" s="563"/>
      <c r="EM201" s="563"/>
      <c r="EN201" s="563"/>
      <c r="EO201" s="563"/>
      <c r="EP201" s="563"/>
      <c r="EQ201" s="563"/>
      <c r="ER201" s="563"/>
      <c r="ES201" s="563"/>
      <c r="ET201" s="563"/>
      <c r="EU201" s="563"/>
      <c r="EV201" s="563"/>
      <c r="EW201" s="563"/>
      <c r="EX201" s="563"/>
      <c r="EY201" s="563"/>
      <c r="EZ201" s="563"/>
      <c r="FA201" s="563"/>
      <c r="FB201" s="563"/>
      <c r="FC201" s="563"/>
      <c r="FD201" s="563"/>
      <c r="FE201" s="563"/>
      <c r="FF201" s="563"/>
      <c r="FG201" s="563"/>
      <c r="FH201" s="563"/>
      <c r="FI201" s="563"/>
      <c r="FJ201" s="563"/>
      <c r="FK201" s="563"/>
      <c r="FL201" s="563"/>
      <c r="FM201" s="563"/>
      <c r="FN201" s="563"/>
      <c r="FO201" s="563"/>
      <c r="FP201" s="563"/>
      <c r="FQ201" s="563"/>
      <c r="FR201" s="563"/>
      <c r="FS201" s="563"/>
      <c r="FT201" s="563"/>
      <c r="FU201" s="563"/>
      <c r="FV201" s="563"/>
      <c r="FW201" s="563"/>
      <c r="FX201" s="563"/>
      <c r="FY201" s="563"/>
      <c r="FZ201" s="563"/>
      <c r="GA201" s="563"/>
      <c r="GB201" s="563"/>
      <c r="GC201" s="563"/>
      <c r="GD201" s="563"/>
      <c r="GE201" s="563"/>
      <c r="GF201" s="563"/>
      <c r="GG201" s="563"/>
      <c r="GH201" s="563"/>
      <c r="GI201" s="563"/>
      <c r="GJ201" s="563"/>
      <c r="GK201" s="563"/>
      <c r="GL201" s="563"/>
      <c r="GM201" s="563"/>
      <c r="GN201" s="563"/>
      <c r="GO201" s="563"/>
      <c r="GP201" s="563"/>
      <c r="GQ201" s="563"/>
      <c r="GR201" s="563"/>
      <c r="GS201" s="563"/>
      <c r="GT201" s="563"/>
      <c r="GU201" s="563"/>
      <c r="GV201" s="563"/>
      <c r="GW201" s="563"/>
      <c r="GX201" s="563"/>
      <c r="GY201" s="563"/>
      <c r="GZ201" s="563"/>
      <c r="HA201" s="563"/>
      <c r="HB201" s="563"/>
      <c r="HC201" s="563"/>
      <c r="HD201" s="563"/>
      <c r="HE201" s="563"/>
      <c r="HF201" s="563"/>
      <c r="HG201" s="563"/>
      <c r="HH201" s="563"/>
      <c r="HI201" s="563"/>
      <c r="HJ201" s="563"/>
      <c r="HK201" s="563"/>
      <c r="HL201" s="563"/>
      <c r="HM201" s="563"/>
      <c r="HN201" s="563"/>
      <c r="HO201" s="563"/>
      <c r="HP201" s="563"/>
      <c r="HQ201" s="563"/>
      <c r="HR201" s="563"/>
      <c r="HS201" s="563"/>
      <c r="HT201" s="563"/>
      <c r="HU201" s="563"/>
      <c r="HV201" s="563"/>
      <c r="HW201" s="563"/>
      <c r="HX201" s="563"/>
      <c r="HY201" s="563"/>
      <c r="HZ201" s="563"/>
      <c r="IA201" s="563"/>
      <c r="IB201" s="563"/>
      <c r="IC201" s="563"/>
      <c r="ID201" s="563"/>
      <c r="IE201" s="563"/>
      <c r="IF201" s="563"/>
      <c r="IG201" s="563"/>
      <c r="IH201" s="563"/>
      <c r="II201" s="563"/>
      <c r="IJ201" s="563"/>
      <c r="IK201" s="563"/>
      <c r="IL201" s="563"/>
      <c r="IM201" s="563"/>
      <c r="IN201" s="563"/>
      <c r="IO201" s="563"/>
      <c r="IP201" s="563"/>
      <c r="IQ201" s="563"/>
      <c r="IR201" s="563"/>
      <c r="IS201" s="563"/>
      <c r="IT201" s="563"/>
      <c r="IU201" s="563"/>
      <c r="IV201" s="563"/>
    </row>
    <row r="202" spans="1:256" s="410" customFormat="1" ht="14.25" customHeight="1">
      <c r="A202" s="1005">
        <f>+A198+1</f>
        <v>66</v>
      </c>
      <c r="B202" s="1008" t="s">
        <v>188</v>
      </c>
      <c r="C202" s="1188" t="s">
        <v>499</v>
      </c>
      <c r="D202" s="1189" t="s">
        <v>124</v>
      </c>
      <c r="E202" s="1189">
        <f>4*16*2.5</f>
        <v>160</v>
      </c>
      <c r="F202" s="1190">
        <f>0.001*14.8</f>
        <v>1.4800000000000001E-2</v>
      </c>
      <c r="G202" s="1191"/>
      <c r="H202" s="1192"/>
      <c r="I202" s="1193">
        <f>0.001*4.98</f>
        <v>4.9800000000000009E-3</v>
      </c>
      <c r="J202" s="1194"/>
      <c r="K202" s="1195"/>
      <c r="L202" s="660"/>
      <c r="M202" s="638"/>
      <c r="N202" s="404"/>
      <c r="O202" s="756"/>
      <c r="P202" s="558"/>
      <c r="Q202" s="749"/>
      <c r="R202" s="758">
        <f>F203+I203</f>
        <v>5.0637193800000008E-2</v>
      </c>
      <c r="S202" s="1020">
        <f>R202+R203</f>
        <v>0.49319838420000006</v>
      </c>
      <c r="T202" s="1020">
        <f>E202*S202</f>
        <v>78.911741472000017</v>
      </c>
      <c r="U202" s="1196">
        <f>R203*E202</f>
        <v>70.809790464000017</v>
      </c>
      <c r="V202" s="1188" t="s">
        <v>500</v>
      </c>
      <c r="W202" s="1189" t="s">
        <v>199</v>
      </c>
      <c r="X202" s="413"/>
      <c r="Y202" s="156"/>
      <c r="Z202" s="156"/>
      <c r="AA202" s="156"/>
      <c r="AB202" s="158"/>
      <c r="AC202" s="158"/>
      <c r="AD202" s="158"/>
      <c r="AE202" s="158"/>
      <c r="AF202" s="409"/>
      <c r="AG202" s="409"/>
      <c r="AH202" s="409"/>
      <c r="AI202" s="409"/>
      <c r="AJ202" s="409"/>
      <c r="AK202" s="409"/>
      <c r="AL202" s="409"/>
    </row>
    <row r="203" spans="1:256" s="410" customFormat="1" ht="14.25" customHeight="1">
      <c r="A203" s="1006"/>
      <c r="B203" s="1009"/>
      <c r="C203" s="1188"/>
      <c r="D203" s="1189"/>
      <c r="E203" s="1189"/>
      <c r="F203" s="1020">
        <f>F202*J$13/1000</f>
        <v>3.4587600000000003E-2</v>
      </c>
      <c r="G203" s="1020"/>
      <c r="H203" s="1020"/>
      <c r="I203" s="1020">
        <f>I202*$Q$13/1000</f>
        <v>1.6049593800000005E-2</v>
      </c>
      <c r="J203" s="1020"/>
      <c r="K203" s="1020"/>
      <c r="L203" s="249" t="s">
        <v>189</v>
      </c>
      <c r="M203" s="250" t="s">
        <v>124</v>
      </c>
      <c r="N203" s="406">
        <v>1</v>
      </c>
      <c r="O203" s="252">
        <f>E202*N203</f>
        <v>160</v>
      </c>
      <c r="P203" s="236">
        <f>1.52/4</f>
        <v>0.38</v>
      </c>
      <c r="Q203" s="253">
        <f>N203*P203*$N$11</f>
        <v>0.43795117800000011</v>
      </c>
      <c r="R203" s="1020">
        <f>SUM(Q203:Q204)</f>
        <v>0.44256119040000008</v>
      </c>
      <c r="S203" s="1020"/>
      <c r="T203" s="1020"/>
      <c r="U203" s="1196"/>
      <c r="V203" s="1188"/>
      <c r="W203" s="1189"/>
      <c r="X203" s="413"/>
      <c r="Y203" s="156"/>
      <c r="Z203" s="156"/>
      <c r="AA203" s="156"/>
      <c r="AB203" s="158"/>
      <c r="AC203" s="158"/>
      <c r="AD203" s="158"/>
      <c r="AE203" s="158"/>
      <c r="AF203" s="409"/>
      <c r="AG203" s="409"/>
      <c r="AH203" s="409"/>
      <c r="AI203" s="409"/>
      <c r="AJ203" s="409"/>
      <c r="AK203" s="409"/>
      <c r="AL203" s="409"/>
    </row>
    <row r="204" spans="1:256" s="410" customFormat="1" ht="13.5" customHeight="1">
      <c r="A204" s="1007"/>
      <c r="B204" s="1010"/>
      <c r="C204" s="1188"/>
      <c r="D204" s="1189"/>
      <c r="E204" s="1189"/>
      <c r="F204" s="1020"/>
      <c r="G204" s="1020"/>
      <c r="H204" s="1020"/>
      <c r="I204" s="1020"/>
      <c r="J204" s="1020"/>
      <c r="K204" s="1020"/>
      <c r="L204" s="259" t="s">
        <v>190</v>
      </c>
      <c r="M204" s="260" t="s">
        <v>124</v>
      </c>
      <c r="N204" s="407">
        <v>4.0000000000000001E-3</v>
      </c>
      <c r="O204" s="237">
        <f>E202*N204</f>
        <v>0.64</v>
      </c>
      <c r="P204" s="411">
        <v>1</v>
      </c>
      <c r="Q204" s="412">
        <f t="shared" ref="Q204" si="12">N204*P204*$N$11</f>
        <v>4.6100124000000011E-3</v>
      </c>
      <c r="R204" s="1020"/>
      <c r="S204" s="1020"/>
      <c r="T204" s="1020"/>
      <c r="U204" s="1196"/>
      <c r="V204" s="1188"/>
      <c r="W204" s="1189"/>
      <c r="X204" s="413"/>
      <c r="Y204" s="156"/>
      <c r="Z204" s="156"/>
      <c r="AA204" s="156"/>
      <c r="AB204" s="158"/>
      <c r="AC204" s="158"/>
      <c r="AD204" s="158"/>
      <c r="AE204" s="158"/>
      <c r="AF204" s="409"/>
      <c r="AG204" s="409"/>
      <c r="AH204" s="409"/>
      <c r="AI204" s="409"/>
      <c r="AJ204" s="409"/>
      <c r="AK204" s="409"/>
      <c r="AL204" s="409"/>
    </row>
    <row r="205" spans="1:256" s="482" customFormat="1" ht="12.75" customHeight="1">
      <c r="A205" s="1095">
        <f>+A202+1</f>
        <v>67</v>
      </c>
      <c r="B205" s="1097" t="s">
        <v>211</v>
      </c>
      <c r="C205" s="1108" t="s">
        <v>501</v>
      </c>
      <c r="D205" s="1101" t="s">
        <v>180</v>
      </c>
      <c r="E205" s="1178">
        <v>4</v>
      </c>
      <c r="F205" s="1052">
        <f>0.01*194</f>
        <v>1.94</v>
      </c>
      <c r="G205" s="1052"/>
      <c r="H205" s="1052"/>
      <c r="I205" s="1052"/>
      <c r="J205" s="1052"/>
      <c r="K205" s="1052"/>
      <c r="L205" s="903"/>
      <c r="M205" s="668"/>
      <c r="N205" s="669"/>
      <c r="O205" s="669"/>
      <c r="P205" s="662"/>
      <c r="Q205" s="507"/>
      <c r="R205" s="1044">
        <f>F206+I206</f>
        <v>4.5337800000000001</v>
      </c>
      <c r="S205" s="1044">
        <f>R205+R206</f>
        <v>4.5337800000000001</v>
      </c>
      <c r="T205" s="1044">
        <f>E205*S205</f>
        <v>18.135120000000001</v>
      </c>
      <c r="U205" s="1105"/>
      <c r="V205" s="1186" t="s">
        <v>487</v>
      </c>
      <c r="W205" s="1187" t="s">
        <v>488</v>
      </c>
      <c r="X205" s="242"/>
      <c r="Y205" s="242"/>
      <c r="Z205" s="567"/>
      <c r="AA205" s="567"/>
      <c r="AB205" s="567"/>
      <c r="AC205" s="567"/>
      <c r="AD205" s="567"/>
      <c r="AE205" s="567"/>
    </row>
    <row r="206" spans="1:256" s="482" customFormat="1" ht="14.25" customHeight="1">
      <c r="A206" s="1107"/>
      <c r="B206" s="1098"/>
      <c r="C206" s="1109"/>
      <c r="D206" s="1102"/>
      <c r="E206" s="1179"/>
      <c r="F206" s="1052">
        <f>F205*$J$13/1000</f>
        <v>4.5337800000000001</v>
      </c>
      <c r="G206" s="1052"/>
      <c r="H206" s="1052"/>
      <c r="I206" s="1052"/>
      <c r="J206" s="1052"/>
      <c r="K206" s="1052"/>
      <c r="L206" s="904"/>
      <c r="M206" s="401"/>
      <c r="N206" s="402"/>
      <c r="O206" s="402"/>
      <c r="P206" s="391"/>
      <c r="Q206" s="403"/>
      <c r="R206" s="1045"/>
      <c r="S206" s="1045"/>
      <c r="T206" s="1045"/>
      <c r="U206" s="1185"/>
      <c r="V206" s="1186"/>
      <c r="W206" s="1187"/>
      <c r="X206" s="242"/>
      <c r="Y206" s="242"/>
      <c r="Z206" s="567"/>
      <c r="AA206" s="567"/>
      <c r="AB206" s="567"/>
      <c r="AC206" s="567"/>
      <c r="AD206" s="567"/>
      <c r="AE206" s="567"/>
    </row>
    <row r="207" spans="1:256" s="745" customFormat="1" ht="12.75" customHeight="1">
      <c r="A207" s="1021">
        <f>+A205+1</f>
        <v>68</v>
      </c>
      <c r="B207" s="1022" t="s">
        <v>490</v>
      </c>
      <c r="C207" s="983" t="s">
        <v>503</v>
      </c>
      <c r="D207" s="984" t="s">
        <v>180</v>
      </c>
      <c r="E207" s="996">
        <v>4</v>
      </c>
      <c r="F207" s="1153">
        <v>2.4500000000000002</v>
      </c>
      <c r="G207" s="1153"/>
      <c r="H207" s="1153"/>
      <c r="I207" s="1175">
        <v>0.37</v>
      </c>
      <c r="J207" s="1175"/>
      <c r="K207" s="1175"/>
      <c r="L207" s="688"/>
      <c r="M207" s="689"/>
      <c r="N207" s="689"/>
      <c r="O207" s="690"/>
      <c r="P207" s="691"/>
      <c r="Q207" s="765"/>
      <c r="R207" s="765">
        <f>F208+I208</f>
        <v>6.9180897000000012</v>
      </c>
      <c r="S207" s="997">
        <f>R207+R208</f>
        <v>51.028932958237583</v>
      </c>
      <c r="T207" s="997">
        <f>E207*S207</f>
        <v>204.11573183295033</v>
      </c>
      <c r="U207" s="982">
        <f>R208*E207</f>
        <v>176.44337303295032</v>
      </c>
      <c r="V207" s="1176" t="s">
        <v>491</v>
      </c>
      <c r="W207" s="1177" t="s">
        <v>489</v>
      </c>
      <c r="X207" s="694"/>
      <c r="Y207" s="694"/>
      <c r="Z207" s="694"/>
      <c r="AA207" s="694"/>
      <c r="AB207" s="694"/>
      <c r="AC207" s="694"/>
      <c r="AD207" s="694"/>
      <c r="AE207" s="694"/>
    </row>
    <row r="208" spans="1:256" s="745" customFormat="1" ht="12.75" customHeight="1">
      <c r="A208" s="1021"/>
      <c r="B208" s="1022"/>
      <c r="C208" s="983"/>
      <c r="D208" s="985"/>
      <c r="E208" s="996"/>
      <c r="F208" s="997">
        <f>F207*J$13/1000</f>
        <v>5.7256500000000008</v>
      </c>
      <c r="G208" s="997"/>
      <c r="H208" s="997"/>
      <c r="I208" s="997">
        <f>I207*$Q$13/1000</f>
        <v>1.1924397</v>
      </c>
      <c r="J208" s="997"/>
      <c r="K208" s="997"/>
      <c r="L208" s="905" t="s">
        <v>504</v>
      </c>
      <c r="M208" s="906" t="s">
        <v>184</v>
      </c>
      <c r="N208" s="689">
        <v>1.02</v>
      </c>
      <c r="O208" s="690">
        <f>E207*N208</f>
        <v>4.08</v>
      </c>
      <c r="P208" s="770">
        <v>29.856000000000002</v>
      </c>
      <c r="Q208" s="702">
        <f>N208*P208*$N$11</f>
        <v>35.097315204672014</v>
      </c>
      <c r="R208" s="997">
        <f>SUM(Q208:Q210)</f>
        <v>44.11084325823758</v>
      </c>
      <c r="S208" s="997"/>
      <c r="T208" s="997"/>
      <c r="U208" s="982"/>
      <c r="V208" s="1176"/>
      <c r="W208" s="1177"/>
      <c r="X208" s="694"/>
      <c r="Y208" s="694"/>
      <c r="Z208" s="694"/>
      <c r="AA208" s="694"/>
      <c r="AB208" s="694"/>
      <c r="AC208" s="694"/>
      <c r="AD208" s="694"/>
      <c r="AE208" s="694"/>
    </row>
    <row r="209" spans="1:38" s="745" customFormat="1" ht="12.75" customHeight="1">
      <c r="A209" s="1021"/>
      <c r="B209" s="1022"/>
      <c r="C209" s="983"/>
      <c r="D209" s="985"/>
      <c r="E209" s="996"/>
      <c r="F209" s="997"/>
      <c r="G209" s="997"/>
      <c r="H209" s="997"/>
      <c r="I209" s="997"/>
      <c r="J209" s="997"/>
      <c r="K209" s="997"/>
      <c r="L209" s="905" t="s">
        <v>185</v>
      </c>
      <c r="M209" s="906" t="s">
        <v>186</v>
      </c>
      <c r="N209" s="689">
        <v>1.61</v>
      </c>
      <c r="O209" s="690">
        <f>E207*N209</f>
        <v>6.44</v>
      </c>
      <c r="P209" s="770">
        <v>3.5</v>
      </c>
      <c r="Q209" s="702">
        <f>N209*P209*$N$11</f>
        <v>6.4943549685000024</v>
      </c>
      <c r="R209" s="997"/>
      <c r="S209" s="997"/>
      <c r="T209" s="997"/>
      <c r="U209" s="982"/>
      <c r="V209" s="1176"/>
      <c r="W209" s="1177"/>
      <c r="X209" s="694"/>
      <c r="Y209" s="694"/>
      <c r="Z209" s="694"/>
      <c r="AA209" s="694"/>
      <c r="AB209" s="694"/>
      <c r="AC209" s="694"/>
      <c r="AD209" s="694"/>
      <c r="AE209" s="694"/>
    </row>
    <row r="210" spans="1:38" s="745" customFormat="1" ht="12.75" customHeight="1">
      <c r="A210" s="1021"/>
      <c r="B210" s="1022"/>
      <c r="C210" s="983"/>
      <c r="D210" s="986"/>
      <c r="E210" s="996"/>
      <c r="F210" s="997"/>
      <c r="G210" s="997"/>
      <c r="H210" s="997"/>
      <c r="I210" s="997"/>
      <c r="J210" s="997"/>
      <c r="K210" s="997"/>
      <c r="L210" s="905" t="s">
        <v>187</v>
      </c>
      <c r="M210" s="906" t="s">
        <v>184</v>
      </c>
      <c r="N210" s="689">
        <v>1.72E-2</v>
      </c>
      <c r="O210" s="690">
        <f>E207*N210</f>
        <v>6.88E-2</v>
      </c>
      <c r="P210" s="742">
        <v>127.083</v>
      </c>
      <c r="Q210" s="702">
        <f>N210*P210*$N$11</f>
        <v>2.5191730850655607</v>
      </c>
      <c r="R210" s="997"/>
      <c r="S210" s="997"/>
      <c r="T210" s="997"/>
      <c r="U210" s="982"/>
      <c r="V210" s="1176"/>
      <c r="W210" s="1177"/>
      <c r="X210" s="694"/>
      <c r="Y210" s="694"/>
      <c r="Z210" s="694"/>
      <c r="AA210" s="694"/>
      <c r="AB210" s="694"/>
      <c r="AC210" s="694"/>
      <c r="AD210" s="694"/>
      <c r="AE210" s="694"/>
    </row>
    <row r="211" spans="1:38" s="914" customFormat="1" ht="12.75" customHeight="1">
      <c r="A211" s="1095">
        <f>+A207+1</f>
        <v>69</v>
      </c>
      <c r="B211" s="1097" t="s">
        <v>181</v>
      </c>
      <c r="C211" s="1108" t="s">
        <v>502</v>
      </c>
      <c r="D211" s="1101" t="s">
        <v>180</v>
      </c>
      <c r="E211" s="1178">
        <v>4</v>
      </c>
      <c r="F211" s="1052">
        <f>0.01*56.2</f>
        <v>0.56200000000000006</v>
      </c>
      <c r="G211" s="1052"/>
      <c r="H211" s="1052"/>
      <c r="I211" s="1426"/>
      <c r="J211" s="1426"/>
      <c r="K211" s="1426"/>
      <c r="L211" s="903"/>
      <c r="M211" s="662"/>
      <c r="N211" s="662"/>
      <c r="O211" s="662"/>
      <c r="P211" s="662"/>
      <c r="Q211" s="389"/>
      <c r="R211" s="1044">
        <f>F212+I212</f>
        <v>1.3133940000000002</v>
      </c>
      <c r="S211" s="1044">
        <f>R211+R212</f>
        <v>1.3133940000000002</v>
      </c>
      <c r="T211" s="1044">
        <f>E211*S211</f>
        <v>5.2535760000000007</v>
      </c>
      <c r="U211" s="751"/>
      <c r="V211" s="1180" t="s">
        <v>202</v>
      </c>
      <c r="W211" s="1182" t="s">
        <v>203</v>
      </c>
      <c r="X211" s="242">
        <v>3</v>
      </c>
      <c r="Y211" s="932"/>
      <c r="Z211" s="933"/>
      <c r="AA211" s="932"/>
      <c r="AB211" s="398"/>
      <c r="AC211" s="398"/>
      <c r="AD211" s="398"/>
      <c r="AE211" s="398"/>
      <c r="AF211" s="915"/>
      <c r="AG211" s="915"/>
      <c r="AH211" s="915"/>
      <c r="AI211" s="915"/>
      <c r="AJ211" s="915"/>
      <c r="AK211" s="915"/>
      <c r="AL211" s="915"/>
    </row>
    <row r="212" spans="1:38" s="914" customFormat="1" ht="12.75" customHeight="1">
      <c r="A212" s="1107"/>
      <c r="B212" s="1098"/>
      <c r="C212" s="1109"/>
      <c r="D212" s="1102"/>
      <c r="E212" s="1179"/>
      <c r="F212" s="1052">
        <f>F211*$J$13/1000</f>
        <v>1.3133940000000002</v>
      </c>
      <c r="G212" s="1052"/>
      <c r="H212" s="1052"/>
      <c r="I212" s="1184">
        <f>J211*$Q$13/1000</f>
        <v>0</v>
      </c>
      <c r="J212" s="1184"/>
      <c r="K212" s="1184"/>
      <c r="L212" s="904"/>
      <c r="M212" s="391"/>
      <c r="N212" s="391"/>
      <c r="O212" s="391"/>
      <c r="P212" s="391"/>
      <c r="Q212" s="392"/>
      <c r="R212" s="1045"/>
      <c r="S212" s="1045"/>
      <c r="T212" s="1045"/>
      <c r="U212" s="752"/>
      <c r="V212" s="1181"/>
      <c r="W212" s="1183"/>
      <c r="X212" s="242"/>
      <c r="Y212" s="932"/>
      <c r="Z212" s="157"/>
      <c r="AA212" s="932"/>
      <c r="AB212" s="398"/>
      <c r="AC212" s="398"/>
      <c r="AD212" s="398"/>
      <c r="AE212" s="398"/>
      <c r="AF212" s="915"/>
      <c r="AG212" s="915"/>
      <c r="AH212" s="915"/>
      <c r="AI212" s="915"/>
      <c r="AJ212" s="915"/>
      <c r="AK212" s="915"/>
      <c r="AL212" s="915"/>
    </row>
    <row r="213" spans="1:38" s="745" customFormat="1" ht="12" customHeight="1">
      <c r="A213" s="1000">
        <f>+A211+1</f>
        <v>70</v>
      </c>
      <c r="B213" s="1001" t="s">
        <v>191</v>
      </c>
      <c r="C213" s="965" t="s">
        <v>378</v>
      </c>
      <c r="D213" s="966" t="s">
        <v>326</v>
      </c>
      <c r="E213" s="1003">
        <f>372*0.1/1000</f>
        <v>3.7200000000000004E-2</v>
      </c>
      <c r="F213" s="967"/>
      <c r="G213" s="967"/>
      <c r="H213" s="967"/>
      <c r="I213" s="1004"/>
      <c r="J213" s="1004"/>
      <c r="K213" s="1004"/>
      <c r="L213" s="697"/>
      <c r="M213" s="909"/>
      <c r="N213" s="910"/>
      <c r="O213" s="698"/>
      <c r="P213" s="700"/>
      <c r="Q213" s="767"/>
      <c r="R213" s="766">
        <f>F214+I214</f>
        <v>0</v>
      </c>
      <c r="S213" s="1129">
        <f>R213+R214</f>
        <v>943.90003890000025</v>
      </c>
      <c r="T213" s="1129">
        <f>E213*S213</f>
        <v>35.113081447080013</v>
      </c>
      <c r="U213" s="1131">
        <f>R214*E213</f>
        <v>35.113081447080013</v>
      </c>
      <c r="V213" s="1116" t="s">
        <v>492</v>
      </c>
      <c r="W213" s="1117" t="s">
        <v>289</v>
      </c>
      <c r="X213" s="694"/>
      <c r="Y213" s="694"/>
      <c r="Z213" s="694"/>
      <c r="AA213" s="694"/>
      <c r="AB213" s="694"/>
      <c r="AC213" s="694"/>
      <c r="AD213" s="694"/>
      <c r="AE213" s="694"/>
    </row>
    <row r="214" spans="1:38" s="745" customFormat="1" ht="12" customHeight="1">
      <c r="A214" s="1000"/>
      <c r="B214" s="1002"/>
      <c r="C214" s="965"/>
      <c r="D214" s="966"/>
      <c r="E214" s="1003"/>
      <c r="F214" s="967"/>
      <c r="G214" s="967"/>
      <c r="H214" s="967"/>
      <c r="I214" s="967"/>
      <c r="J214" s="967"/>
      <c r="K214" s="967"/>
      <c r="L214" s="688" t="s">
        <v>378</v>
      </c>
      <c r="M214" s="689" t="s">
        <v>326</v>
      </c>
      <c r="N214" s="910">
        <v>1</v>
      </c>
      <c r="O214" s="698">
        <f>E213*N214</f>
        <v>3.7200000000000004E-2</v>
      </c>
      <c r="P214" s="699">
        <v>819</v>
      </c>
      <c r="Q214" s="696">
        <f>N214*P214*$N$11</f>
        <v>943.90003890000025</v>
      </c>
      <c r="R214" s="767">
        <f>SUM(Q214:Q214)</f>
        <v>943.90003890000025</v>
      </c>
      <c r="S214" s="1130"/>
      <c r="T214" s="1130"/>
      <c r="U214" s="1132"/>
      <c r="V214" s="1116"/>
      <c r="W214" s="1117"/>
      <c r="X214" s="694"/>
      <c r="Y214" s="694"/>
      <c r="Z214" s="694"/>
      <c r="AA214" s="694"/>
      <c r="AB214" s="694"/>
      <c r="AC214" s="694"/>
      <c r="AD214" s="694"/>
      <c r="AE214" s="694"/>
    </row>
    <row r="215" spans="1:38" s="913" customFormat="1" ht="11.25" customHeight="1">
      <c r="A215" s="1173">
        <f>+A213+1</f>
        <v>71</v>
      </c>
      <c r="B215" s="1022" t="s">
        <v>505</v>
      </c>
      <c r="C215" s="983" t="s">
        <v>508</v>
      </c>
      <c r="D215" s="1173" t="s">
        <v>122</v>
      </c>
      <c r="E215" s="1174">
        <v>6</v>
      </c>
      <c r="F215" s="1153">
        <v>0.69</v>
      </c>
      <c r="G215" s="1153"/>
      <c r="H215" s="1153"/>
      <c r="I215" s="1175">
        <v>1.56</v>
      </c>
      <c r="J215" s="1175"/>
      <c r="K215" s="1175"/>
      <c r="L215" s="719"/>
      <c r="M215" s="916"/>
      <c r="N215" s="916"/>
      <c r="O215" s="701"/>
      <c r="P215" s="704"/>
      <c r="Q215" s="911"/>
      <c r="R215" s="911">
        <f>F216+I216</f>
        <v>6.6401135999999994</v>
      </c>
      <c r="S215" s="1153">
        <f>R215+R216</f>
        <v>21.501041772888001</v>
      </c>
      <c r="T215" s="1153">
        <f>E215*S215</f>
        <v>129.00625063732801</v>
      </c>
      <c r="U215" s="1153">
        <f>R216*E215</f>
        <v>89.165569037328027</v>
      </c>
      <c r="V215" s="888"/>
      <c r="W215" s="934"/>
      <c r="X215" s="934"/>
      <c r="Y215" s="934"/>
      <c r="Z215" s="934"/>
      <c r="AA215" s="934"/>
      <c r="AB215" s="934"/>
      <c r="AC215" s="934"/>
      <c r="AD215" s="934"/>
      <c r="AE215" s="934"/>
    </row>
    <row r="216" spans="1:38" s="913" customFormat="1" ht="11.25">
      <c r="A216" s="1173"/>
      <c r="B216" s="1022"/>
      <c r="C216" s="983"/>
      <c r="D216" s="1173"/>
      <c r="E216" s="1174"/>
      <c r="F216" s="1153">
        <f>F215*J$13/1000</f>
        <v>1.61253</v>
      </c>
      <c r="G216" s="1153"/>
      <c r="H216" s="1153"/>
      <c r="I216" s="1153">
        <f>I215*$Q$13/1000</f>
        <v>5.0275835999999998</v>
      </c>
      <c r="J216" s="1153"/>
      <c r="K216" s="1153"/>
      <c r="L216" s="719" t="s">
        <v>506</v>
      </c>
      <c r="M216" s="916" t="s">
        <v>186</v>
      </c>
      <c r="N216" s="916">
        <v>1</v>
      </c>
      <c r="O216" s="701">
        <f>E215*N216</f>
        <v>6</v>
      </c>
      <c r="P216" s="695">
        <v>12</v>
      </c>
      <c r="Q216" s="911">
        <f>N216*P216*$N$11</f>
        <v>13.830037200000003</v>
      </c>
      <c r="R216" s="1153">
        <f>SUM(Q216:Q219)</f>
        <v>14.860928172888004</v>
      </c>
      <c r="S216" s="1153"/>
      <c r="T216" s="1153"/>
      <c r="U216" s="1153"/>
      <c r="V216" s="888"/>
      <c r="W216" s="934"/>
      <c r="X216" s="934"/>
      <c r="Y216" s="934"/>
      <c r="Z216" s="934"/>
      <c r="AA216" s="934"/>
      <c r="AB216" s="934"/>
      <c r="AC216" s="934"/>
      <c r="AD216" s="934"/>
      <c r="AE216" s="934"/>
    </row>
    <row r="217" spans="1:38" s="913" customFormat="1" ht="11.25">
      <c r="A217" s="1173"/>
      <c r="B217" s="1022"/>
      <c r="C217" s="983"/>
      <c r="D217" s="1173"/>
      <c r="E217" s="1174"/>
      <c r="F217" s="1153"/>
      <c r="G217" s="1153"/>
      <c r="H217" s="1153"/>
      <c r="I217" s="1153"/>
      <c r="J217" s="1153"/>
      <c r="K217" s="1153"/>
      <c r="L217" s="907" t="s">
        <v>507</v>
      </c>
      <c r="M217" s="908" t="s">
        <v>124</v>
      </c>
      <c r="N217" s="916">
        <v>1.56</v>
      </c>
      <c r="O217" s="701">
        <f>E215*N217</f>
        <v>9.36</v>
      </c>
      <c r="P217" s="695">
        <v>0.5</v>
      </c>
      <c r="Q217" s="911">
        <f>N217*P217*$N$11</f>
        <v>0.89895241800000025</v>
      </c>
      <c r="R217" s="1153"/>
      <c r="S217" s="1153"/>
      <c r="T217" s="1153"/>
      <c r="U217" s="1153"/>
      <c r="V217" s="888"/>
      <c r="W217" s="934"/>
      <c r="X217" s="934"/>
      <c r="Y217" s="934"/>
      <c r="Z217" s="934"/>
      <c r="AA217" s="934"/>
      <c r="AB217" s="934"/>
      <c r="AC217" s="934"/>
      <c r="AD217" s="934"/>
      <c r="AE217" s="934"/>
    </row>
    <row r="218" spans="1:38" s="913" customFormat="1" ht="11.25">
      <c r="A218" s="1173"/>
      <c r="B218" s="1022"/>
      <c r="C218" s="983"/>
      <c r="D218" s="1173"/>
      <c r="E218" s="1174"/>
      <c r="F218" s="1153"/>
      <c r="G218" s="1153"/>
      <c r="H218" s="1153"/>
      <c r="I218" s="1153"/>
      <c r="J218" s="1153"/>
      <c r="K218" s="1153"/>
      <c r="L218" s="907" t="s">
        <v>349</v>
      </c>
      <c r="M218" s="908" t="s">
        <v>124</v>
      </c>
      <c r="N218" s="916">
        <v>0.06</v>
      </c>
      <c r="O218" s="701">
        <f>E215*N218</f>
        <v>0.36</v>
      </c>
      <c r="P218" s="695">
        <v>1.1879999999999999</v>
      </c>
      <c r="Q218" s="911">
        <f>N218*P218*$N$11</f>
        <v>8.2150420968000015E-2</v>
      </c>
      <c r="R218" s="1153"/>
      <c r="S218" s="1153"/>
      <c r="T218" s="1153"/>
      <c r="U218" s="1153"/>
      <c r="V218" s="888"/>
      <c r="W218" s="934"/>
      <c r="X218" s="934"/>
      <c r="Y218" s="934"/>
      <c r="Z218" s="934"/>
      <c r="AA218" s="934"/>
      <c r="AB218" s="934"/>
      <c r="AC218" s="934"/>
      <c r="AD218" s="934"/>
      <c r="AE218" s="934"/>
    </row>
    <row r="219" spans="1:38" s="913" customFormat="1" ht="11.25">
      <c r="A219" s="1173"/>
      <c r="B219" s="1022"/>
      <c r="C219" s="983"/>
      <c r="D219" s="1173"/>
      <c r="E219" s="1174"/>
      <c r="F219" s="1153"/>
      <c r="G219" s="1153"/>
      <c r="H219" s="1153"/>
      <c r="I219" s="1153"/>
      <c r="J219" s="1153"/>
      <c r="K219" s="1153"/>
      <c r="L219" s="907" t="s">
        <v>190</v>
      </c>
      <c r="M219" s="908" t="s">
        <v>124</v>
      </c>
      <c r="N219" s="916">
        <v>4.8000000000000001E-2</v>
      </c>
      <c r="O219" s="701">
        <f>E215*N219</f>
        <v>0.28800000000000003</v>
      </c>
      <c r="P219" s="695">
        <v>0.9</v>
      </c>
      <c r="Q219" s="911">
        <f>N219*P219*$N$11</f>
        <v>4.9788133920000019E-2</v>
      </c>
      <c r="R219" s="1153"/>
      <c r="S219" s="1153"/>
      <c r="T219" s="1153"/>
      <c r="U219" s="1153"/>
      <c r="V219" s="888"/>
      <c r="W219" s="934"/>
      <c r="X219" s="934"/>
      <c r="Y219" s="934"/>
      <c r="Z219" s="934"/>
      <c r="AA219" s="934"/>
      <c r="AB219" s="934"/>
      <c r="AC219" s="934"/>
      <c r="AD219" s="934"/>
      <c r="AE219" s="934"/>
    </row>
    <row r="220" spans="1:38" s="745" customFormat="1" ht="12.75" customHeight="1">
      <c r="A220" s="1000">
        <f>+A215+1</f>
        <v>72</v>
      </c>
      <c r="B220" s="1001" t="s">
        <v>191</v>
      </c>
      <c r="C220" s="965" t="s">
        <v>493</v>
      </c>
      <c r="D220" s="966" t="s">
        <v>164</v>
      </c>
      <c r="E220" s="1172">
        <v>4</v>
      </c>
      <c r="F220" s="967"/>
      <c r="G220" s="967"/>
      <c r="H220" s="967"/>
      <c r="I220" s="1004"/>
      <c r="J220" s="1004"/>
      <c r="K220" s="1004"/>
      <c r="L220" s="697"/>
      <c r="M220" s="909"/>
      <c r="N220" s="910"/>
      <c r="O220" s="698"/>
      <c r="P220" s="691"/>
      <c r="Q220" s="767"/>
      <c r="R220" s="766">
        <f>F221+I221</f>
        <v>0</v>
      </c>
      <c r="S220" s="1129">
        <f>R220+R221</f>
        <v>0.92200248000000029</v>
      </c>
      <c r="T220" s="1129">
        <f>E220*S220</f>
        <v>3.6880099200000012</v>
      </c>
      <c r="U220" s="1131">
        <f>R221*E220</f>
        <v>3.6880099200000012</v>
      </c>
      <c r="V220" s="1116" t="s">
        <v>494</v>
      </c>
      <c r="W220" s="1117" t="s">
        <v>197</v>
      </c>
      <c r="X220" s="694"/>
      <c r="Y220" s="694"/>
      <c r="Z220" s="694"/>
      <c r="AA220" s="694"/>
      <c r="AB220" s="694"/>
      <c r="AC220" s="694"/>
      <c r="AD220" s="694"/>
      <c r="AE220" s="694"/>
    </row>
    <row r="221" spans="1:38" s="745" customFormat="1" ht="12.75" customHeight="1">
      <c r="A221" s="1000"/>
      <c r="B221" s="1002"/>
      <c r="C221" s="965"/>
      <c r="D221" s="966"/>
      <c r="E221" s="1172"/>
      <c r="F221" s="967"/>
      <c r="G221" s="967"/>
      <c r="H221" s="967"/>
      <c r="I221" s="967"/>
      <c r="J221" s="967"/>
      <c r="K221" s="967"/>
      <c r="L221" s="688" t="s">
        <v>377</v>
      </c>
      <c r="M221" s="689" t="s">
        <v>164</v>
      </c>
      <c r="N221" s="910">
        <v>1</v>
      </c>
      <c r="O221" s="698">
        <f>E220*N221</f>
        <v>4</v>
      </c>
      <c r="P221" s="695">
        <v>0.8</v>
      </c>
      <c r="Q221" s="696">
        <f>N221*P221*$N$11</f>
        <v>0.92200248000000029</v>
      </c>
      <c r="R221" s="767">
        <f>SUM(Q221:Q221)</f>
        <v>0.92200248000000029</v>
      </c>
      <c r="S221" s="1130"/>
      <c r="T221" s="1130"/>
      <c r="U221" s="1132"/>
      <c r="V221" s="1116"/>
      <c r="W221" s="1117"/>
      <c r="X221" s="694"/>
      <c r="Y221" s="694"/>
      <c r="Z221" s="694"/>
      <c r="AA221" s="694"/>
      <c r="AB221" s="694"/>
      <c r="AC221" s="694"/>
      <c r="AD221" s="694"/>
      <c r="AE221" s="694"/>
    </row>
    <row r="222" spans="1:38" s="745" customFormat="1" ht="12.75" customHeight="1">
      <c r="A222" s="1000">
        <f>+A220+1</f>
        <v>73</v>
      </c>
      <c r="B222" s="1001" t="s">
        <v>191</v>
      </c>
      <c r="C222" s="965" t="s">
        <v>380</v>
      </c>
      <c r="D222" s="966" t="s">
        <v>164</v>
      </c>
      <c r="E222" s="1172">
        <v>1</v>
      </c>
      <c r="F222" s="967"/>
      <c r="G222" s="967"/>
      <c r="H222" s="967"/>
      <c r="I222" s="1004"/>
      <c r="J222" s="1004"/>
      <c r="K222" s="1004"/>
      <c r="L222" s="697"/>
      <c r="M222" s="909"/>
      <c r="N222" s="910"/>
      <c r="O222" s="698"/>
      <c r="P222" s="691"/>
      <c r="Q222" s="767"/>
      <c r="R222" s="767">
        <f>F223+I223</f>
        <v>0</v>
      </c>
      <c r="S222" s="1129">
        <f>R222+R223</f>
        <v>1.1525031000000003</v>
      </c>
      <c r="T222" s="1129">
        <f>E222*S222</f>
        <v>1.1525031000000003</v>
      </c>
      <c r="U222" s="1131">
        <f>R223*E222</f>
        <v>1.1525031000000003</v>
      </c>
      <c r="V222" s="1116" t="s">
        <v>495</v>
      </c>
      <c r="W222" s="1117" t="s">
        <v>197</v>
      </c>
      <c r="X222" s="694"/>
      <c r="Y222" s="694"/>
      <c r="Z222" s="694"/>
      <c r="AA222" s="694"/>
      <c r="AB222" s="694"/>
      <c r="AC222" s="694"/>
      <c r="AD222" s="694"/>
      <c r="AE222" s="694"/>
    </row>
    <row r="223" spans="1:38" s="745" customFormat="1" ht="12.75" customHeight="1">
      <c r="A223" s="1000"/>
      <c r="B223" s="1002"/>
      <c r="C223" s="965"/>
      <c r="D223" s="966"/>
      <c r="E223" s="1172"/>
      <c r="F223" s="967"/>
      <c r="G223" s="967"/>
      <c r="H223" s="967"/>
      <c r="I223" s="967"/>
      <c r="J223" s="967"/>
      <c r="K223" s="967"/>
      <c r="L223" s="688" t="s">
        <v>381</v>
      </c>
      <c r="M223" s="689" t="s">
        <v>164</v>
      </c>
      <c r="N223" s="910">
        <v>1</v>
      </c>
      <c r="O223" s="698">
        <f>E222*N223</f>
        <v>1</v>
      </c>
      <c r="P223" s="695">
        <v>1</v>
      </c>
      <c r="Q223" s="696">
        <f>N223*P223*$N$11</f>
        <v>1.1525031000000003</v>
      </c>
      <c r="R223" s="767">
        <f>SUM(Q223:Q223)</f>
        <v>1.1525031000000003</v>
      </c>
      <c r="S223" s="1130"/>
      <c r="T223" s="1130"/>
      <c r="U223" s="1132"/>
      <c r="V223" s="1116"/>
      <c r="W223" s="1117"/>
      <c r="X223" s="694"/>
      <c r="Y223" s="694"/>
      <c r="Z223" s="694"/>
      <c r="AA223" s="694"/>
      <c r="AB223" s="694"/>
      <c r="AC223" s="694"/>
      <c r="AD223" s="694"/>
      <c r="AE223" s="694"/>
    </row>
    <row r="224" spans="1:38" s="804" customFormat="1" ht="12.75" customHeight="1">
      <c r="A224" s="1133">
        <f>+A222+1</f>
        <v>74</v>
      </c>
      <c r="B224" s="1135" t="s">
        <v>362</v>
      </c>
      <c r="C224" s="1137" t="s">
        <v>363</v>
      </c>
      <c r="D224" s="1140" t="s">
        <v>122</v>
      </c>
      <c r="E224" s="1142">
        <v>4.32</v>
      </c>
      <c r="F224" s="1148">
        <v>0.38400000000000001</v>
      </c>
      <c r="G224" s="1148"/>
      <c r="H224" s="1148"/>
      <c r="I224" s="1214">
        <f>0.03/100</f>
        <v>2.9999999999999997E-4</v>
      </c>
      <c r="J224" s="1215"/>
      <c r="K224" s="1216"/>
      <c r="L224" s="417"/>
      <c r="M224" s="638"/>
      <c r="N224" s="705"/>
      <c r="O224" s="705"/>
      <c r="P224" s="756"/>
      <c r="Q224" s="706"/>
      <c r="R224" s="758">
        <f>F225+I225</f>
        <v>0.89837484300000003</v>
      </c>
      <c r="S224" s="1020">
        <f>R224+R225</f>
        <v>1.2786904934721002</v>
      </c>
      <c r="T224" s="1020">
        <f>E224*S224</f>
        <v>5.523942931799473</v>
      </c>
      <c r="U224" s="1144">
        <f>R225*E224</f>
        <v>1.6429636100394727</v>
      </c>
      <c r="V224" s="1066" t="s">
        <v>497</v>
      </c>
      <c r="W224" s="1146" t="s">
        <v>496</v>
      </c>
      <c r="X224" s="667"/>
      <c r="Y224" s="721"/>
      <c r="Z224" s="721"/>
      <c r="AA224" s="721"/>
      <c r="AB224" s="721"/>
      <c r="AC224" s="721"/>
      <c r="AD224" s="721"/>
      <c r="AE224" s="721"/>
    </row>
    <row r="225" spans="1:256" s="804" customFormat="1" ht="12.75" customHeight="1">
      <c r="A225" s="1134"/>
      <c r="B225" s="1136"/>
      <c r="C225" s="1138"/>
      <c r="D225" s="1141"/>
      <c r="E225" s="1143"/>
      <c r="F225" s="1148">
        <f>F224*J$13/1000</f>
        <v>0.89740799999999998</v>
      </c>
      <c r="G225" s="1148"/>
      <c r="H225" s="1148"/>
      <c r="I225" s="1148">
        <f>I224*$Q$13/1000</f>
        <v>9.6684299999999989E-4</v>
      </c>
      <c r="J225" s="1148"/>
      <c r="K225" s="1148"/>
      <c r="L225" s="806" t="s">
        <v>130</v>
      </c>
      <c r="M225" s="250" t="s">
        <v>124</v>
      </c>
      <c r="N225" s="712">
        <v>0.246</v>
      </c>
      <c r="O225" s="713">
        <f>E224*N225</f>
        <v>1.0627200000000001</v>
      </c>
      <c r="P225" s="341">
        <v>1.25</v>
      </c>
      <c r="Q225" s="714">
        <f>N225*P225*$N$11</f>
        <v>0.35439470325000011</v>
      </c>
      <c r="R225" s="1020">
        <f>SUM(Q225:Q226)</f>
        <v>0.38031565047210014</v>
      </c>
      <c r="S225" s="1020"/>
      <c r="T225" s="1020"/>
      <c r="U225" s="1144"/>
      <c r="V225" s="1067"/>
      <c r="W225" s="1147"/>
      <c r="X225" s="667"/>
      <c r="Y225" s="721"/>
      <c r="Z225" s="721"/>
      <c r="AA225" s="721"/>
      <c r="AB225" s="721"/>
      <c r="AC225" s="721"/>
      <c r="AD225" s="721"/>
      <c r="AE225" s="721"/>
    </row>
    <row r="226" spans="1:256" s="804" customFormat="1" ht="12.75" customHeight="1">
      <c r="A226" s="1134"/>
      <c r="B226" s="1136"/>
      <c r="C226" s="1139"/>
      <c r="D226" s="1141"/>
      <c r="E226" s="1143"/>
      <c r="F226" s="1148"/>
      <c r="G226" s="1148"/>
      <c r="H226" s="1148"/>
      <c r="I226" s="1148"/>
      <c r="J226" s="1148"/>
      <c r="K226" s="1148"/>
      <c r="L226" s="807" t="s">
        <v>365</v>
      </c>
      <c r="M226" s="254" t="s">
        <v>124</v>
      </c>
      <c r="N226" s="715">
        <v>2.7E-2</v>
      </c>
      <c r="O226" s="716">
        <f>E224*N226</f>
        <v>0.11664000000000001</v>
      </c>
      <c r="P226" s="355">
        <v>0.83299999999999996</v>
      </c>
      <c r="Q226" s="717">
        <f>N226*P226*$N$11</f>
        <v>2.5920947222100005E-2</v>
      </c>
      <c r="R226" s="1020"/>
      <c r="S226" s="1020"/>
      <c r="T226" s="1020"/>
      <c r="U226" s="1144"/>
      <c r="V226" s="1145"/>
      <c r="W226" s="1147"/>
      <c r="X226" s="667"/>
      <c r="Y226" s="721"/>
      <c r="Z226" s="721"/>
      <c r="AA226" s="721"/>
      <c r="AB226" s="721"/>
      <c r="AC226" s="721"/>
      <c r="AD226" s="721"/>
      <c r="AE226" s="721"/>
    </row>
    <row r="227" spans="1:256" s="721" customFormat="1" ht="12.75" customHeight="1">
      <c r="A227" s="1149">
        <f>+A224+1</f>
        <v>75</v>
      </c>
      <c r="B227" s="1150" t="s">
        <v>509</v>
      </c>
      <c r="C227" s="1137" t="s">
        <v>510</v>
      </c>
      <c r="D227" s="1151" t="s">
        <v>122</v>
      </c>
      <c r="E227" s="1152">
        <v>2.88</v>
      </c>
      <c r="F227" s="1153">
        <f>2.71/100+2.13/100</f>
        <v>4.8399999999999999E-2</v>
      </c>
      <c r="G227" s="1153"/>
      <c r="H227" s="1153"/>
      <c r="I227" s="1175">
        <f>0.36/100*2</f>
        <v>7.1999999999999998E-3</v>
      </c>
      <c r="J227" s="1175"/>
      <c r="K227" s="1175"/>
      <c r="L227" s="417"/>
      <c r="M227" s="638"/>
      <c r="N227" s="705"/>
      <c r="O227" s="705"/>
      <c r="P227" s="705"/>
      <c r="Q227" s="706"/>
      <c r="R227" s="911">
        <f>F228+I228</f>
        <v>0.136315032</v>
      </c>
      <c r="S227" s="1153">
        <f>R227+R228</f>
        <v>0.20036423927940003</v>
      </c>
      <c r="T227" s="1154">
        <f>E227*S227</f>
        <v>0.57704900912467205</v>
      </c>
      <c r="U227" s="1155">
        <f>R228*E227</f>
        <v>0.18446171696467206</v>
      </c>
      <c r="V227" s="1156" t="s">
        <v>511</v>
      </c>
      <c r="W227" s="1159" t="s">
        <v>410</v>
      </c>
      <c r="Y227" s="569"/>
      <c r="Z227" s="569"/>
      <c r="AB227" s="569"/>
      <c r="AC227" s="569"/>
      <c r="AD227" s="569"/>
      <c r="AE227" s="569"/>
      <c r="AF227" s="569"/>
      <c r="AG227" s="569"/>
      <c r="AH227" s="569"/>
      <c r="AI227" s="569"/>
      <c r="AJ227" s="569"/>
      <c r="AK227" s="569"/>
    </row>
    <row r="228" spans="1:256" s="721" customFormat="1" ht="12.75" customHeight="1">
      <c r="A228" s="1149"/>
      <c r="B228" s="1150"/>
      <c r="C228" s="1138"/>
      <c r="D228" s="1151"/>
      <c r="E228" s="1152"/>
      <c r="F228" s="1153">
        <f>F227*J$13/1000</f>
        <v>0.1131108</v>
      </c>
      <c r="G228" s="1153"/>
      <c r="H228" s="1153"/>
      <c r="I228" s="1153">
        <f>I227*$Q$13/1000</f>
        <v>2.3204231999999998E-2</v>
      </c>
      <c r="J228" s="1153"/>
      <c r="K228" s="1153"/>
      <c r="L228" s="806" t="s">
        <v>255</v>
      </c>
      <c r="M228" s="250" t="s">
        <v>124</v>
      </c>
      <c r="N228" s="712">
        <v>0.1</v>
      </c>
      <c r="O228" s="713">
        <f>E227*N228</f>
        <v>0.28799999999999998</v>
      </c>
      <c r="P228" s="918">
        <v>0.16550000000000001</v>
      </c>
      <c r="Q228" s="714">
        <f t="shared" ref="Q228:Q229" si="13">N228*P228*$N$11</f>
        <v>1.9073926305000009E-2</v>
      </c>
      <c r="R228" s="1153">
        <f>SUM(Q228:Q229)</f>
        <v>6.4049207279400028E-2</v>
      </c>
      <c r="S228" s="1153"/>
      <c r="T228" s="1154"/>
      <c r="U228" s="1155"/>
      <c r="V228" s="1157"/>
      <c r="W228" s="1160"/>
      <c r="Y228" s="569"/>
      <c r="Z228" s="569"/>
      <c r="AB228" s="569"/>
      <c r="AC228" s="569"/>
      <c r="AD228" s="569"/>
      <c r="AE228" s="569"/>
      <c r="AF228" s="569"/>
      <c r="AG228" s="569"/>
      <c r="AH228" s="569"/>
      <c r="AI228" s="569"/>
      <c r="AJ228" s="569"/>
      <c r="AK228" s="569"/>
    </row>
    <row r="229" spans="1:256" s="721" customFormat="1" ht="12.75" customHeight="1">
      <c r="A229" s="1149"/>
      <c r="B229" s="1150"/>
      <c r="C229" s="1139"/>
      <c r="D229" s="1151"/>
      <c r="E229" s="1152"/>
      <c r="F229" s="1153"/>
      <c r="G229" s="1153"/>
      <c r="H229" s="1153"/>
      <c r="I229" s="1153"/>
      <c r="J229" s="1153"/>
      <c r="K229" s="1153"/>
      <c r="L229" s="807" t="s">
        <v>128</v>
      </c>
      <c r="M229" s="254" t="s">
        <v>124</v>
      </c>
      <c r="N229" s="715">
        <f>3.6/100</f>
        <v>3.6000000000000004E-2</v>
      </c>
      <c r="O229" s="716">
        <f>E227*N229</f>
        <v>0.10368000000000001</v>
      </c>
      <c r="P229" s="355">
        <f>0.542*2</f>
        <v>1.0840000000000001</v>
      </c>
      <c r="Q229" s="717">
        <f t="shared" si="13"/>
        <v>4.4975280974400025E-2</v>
      </c>
      <c r="R229" s="1153"/>
      <c r="S229" s="1153"/>
      <c r="T229" s="1154"/>
      <c r="U229" s="1155"/>
      <c r="V229" s="1158"/>
      <c r="W229" s="1161"/>
      <c r="Y229" s="569"/>
      <c r="Z229" s="569"/>
      <c r="AB229" s="569"/>
      <c r="AC229" s="569"/>
      <c r="AD229" s="569"/>
      <c r="AE229" s="569"/>
      <c r="AF229" s="569"/>
      <c r="AG229" s="569"/>
      <c r="AH229" s="569"/>
      <c r="AI229" s="569"/>
      <c r="AJ229" s="569"/>
      <c r="AK229" s="569"/>
    </row>
    <row r="230" spans="1:256" s="564" customFormat="1" ht="14.25" customHeight="1">
      <c r="B230" s="771"/>
      <c r="C230" s="831" t="s">
        <v>486</v>
      </c>
      <c r="D230" s="664"/>
      <c r="E230" s="664"/>
      <c r="F230" s="778"/>
      <c r="G230" s="665"/>
      <c r="H230" s="665"/>
      <c r="I230" s="665"/>
      <c r="J230" s="665"/>
      <c r="K230" s="665"/>
      <c r="L230" s="671"/>
      <c r="M230" s="665"/>
      <c r="N230" s="665"/>
      <c r="O230" s="665"/>
      <c r="P230" s="665"/>
      <c r="Q230" s="665"/>
      <c r="R230" s="665"/>
      <c r="S230" s="665"/>
      <c r="T230" s="672"/>
      <c r="U230" s="665"/>
      <c r="V230" s="831" t="s">
        <v>438</v>
      </c>
      <c r="W230" s="664"/>
      <c r="X230" s="665"/>
      <c r="Y230" s="666"/>
      <c r="Z230" s="666"/>
      <c r="AA230" s="666"/>
      <c r="AB230" s="666"/>
      <c r="AC230" s="666"/>
      <c r="AD230" s="666"/>
      <c r="AE230" s="666"/>
      <c r="AF230" s="666"/>
      <c r="AG230" s="666"/>
      <c r="AH230" s="666"/>
      <c r="AI230" s="666"/>
      <c r="AJ230" s="666"/>
      <c r="AK230" s="666"/>
      <c r="AL230" s="563"/>
      <c r="AM230" s="563"/>
      <c r="AN230" s="563"/>
      <c r="AO230" s="563"/>
      <c r="AP230" s="563"/>
      <c r="AQ230" s="563"/>
      <c r="AR230" s="563"/>
      <c r="AS230" s="563"/>
      <c r="AT230" s="563"/>
      <c r="AU230" s="563"/>
      <c r="AV230" s="563"/>
      <c r="AW230" s="563"/>
      <c r="AX230" s="563"/>
      <c r="AY230" s="563"/>
      <c r="AZ230" s="563"/>
      <c r="BA230" s="563"/>
      <c r="BB230" s="563"/>
      <c r="BC230" s="563"/>
      <c r="BD230" s="563"/>
      <c r="BE230" s="563"/>
      <c r="BF230" s="563"/>
      <c r="BG230" s="563"/>
      <c r="BH230" s="563"/>
      <c r="BI230" s="563"/>
      <c r="BJ230" s="563"/>
      <c r="BK230" s="563"/>
      <c r="BL230" s="563"/>
      <c r="BM230" s="563"/>
      <c r="BN230" s="563"/>
      <c r="BO230" s="563"/>
      <c r="BP230" s="563"/>
      <c r="BQ230" s="563"/>
      <c r="BR230" s="563"/>
      <c r="BS230" s="563"/>
      <c r="BT230" s="563"/>
      <c r="BU230" s="563"/>
      <c r="BV230" s="563"/>
      <c r="BW230" s="563"/>
      <c r="BX230" s="563"/>
      <c r="BY230" s="563"/>
      <c r="BZ230" s="563"/>
      <c r="CA230" s="563"/>
      <c r="CB230" s="563"/>
      <c r="CC230" s="563"/>
      <c r="CD230" s="563"/>
      <c r="CE230" s="563"/>
      <c r="CF230" s="563"/>
      <c r="CG230" s="563"/>
      <c r="CH230" s="563"/>
      <c r="CI230" s="563"/>
      <c r="CJ230" s="563"/>
      <c r="CK230" s="563"/>
      <c r="CL230" s="563"/>
      <c r="CM230" s="563"/>
      <c r="CN230" s="563"/>
      <c r="CO230" s="563"/>
      <c r="CP230" s="563"/>
      <c r="CQ230" s="563"/>
      <c r="CR230" s="563"/>
      <c r="CS230" s="563"/>
      <c r="CT230" s="563"/>
      <c r="CU230" s="563"/>
      <c r="CV230" s="563"/>
      <c r="CW230" s="563"/>
      <c r="CX230" s="563"/>
      <c r="CY230" s="563"/>
      <c r="CZ230" s="563"/>
      <c r="DA230" s="563"/>
      <c r="DB230" s="563"/>
      <c r="DC230" s="563"/>
      <c r="DD230" s="563"/>
      <c r="DE230" s="563"/>
      <c r="DF230" s="563"/>
      <c r="DG230" s="563"/>
      <c r="DH230" s="563"/>
      <c r="DI230" s="563"/>
      <c r="DJ230" s="563"/>
      <c r="DK230" s="563"/>
      <c r="DL230" s="563"/>
      <c r="DM230" s="563"/>
      <c r="DN230" s="563"/>
      <c r="DO230" s="563"/>
      <c r="DP230" s="563"/>
      <c r="DQ230" s="563"/>
      <c r="DR230" s="563"/>
      <c r="DS230" s="563"/>
      <c r="DT230" s="563"/>
      <c r="DU230" s="563"/>
      <c r="DV230" s="563"/>
      <c r="DW230" s="563"/>
      <c r="DX230" s="563"/>
      <c r="DY230" s="563"/>
      <c r="DZ230" s="563"/>
      <c r="EA230" s="563"/>
      <c r="EB230" s="563"/>
      <c r="EC230" s="563"/>
      <c r="ED230" s="563"/>
      <c r="EE230" s="563"/>
      <c r="EF230" s="563"/>
      <c r="EG230" s="563"/>
      <c r="EH230" s="563"/>
      <c r="EI230" s="563"/>
      <c r="EJ230" s="563"/>
      <c r="EK230" s="563"/>
      <c r="EL230" s="563"/>
      <c r="EM230" s="563"/>
      <c r="EN230" s="563"/>
      <c r="EO230" s="563"/>
      <c r="EP230" s="563"/>
      <c r="EQ230" s="563"/>
      <c r="ER230" s="563"/>
      <c r="ES230" s="563"/>
      <c r="ET230" s="563"/>
      <c r="EU230" s="563"/>
      <c r="EV230" s="563"/>
      <c r="EW230" s="563"/>
      <c r="EX230" s="563"/>
      <c r="EY230" s="563"/>
      <c r="EZ230" s="563"/>
      <c r="FA230" s="563"/>
      <c r="FB230" s="563"/>
      <c r="FC230" s="563"/>
      <c r="FD230" s="563"/>
      <c r="FE230" s="563"/>
      <c r="FF230" s="563"/>
      <c r="FG230" s="563"/>
      <c r="FH230" s="563"/>
      <c r="FI230" s="563"/>
      <c r="FJ230" s="563"/>
      <c r="FK230" s="563"/>
      <c r="FL230" s="563"/>
      <c r="FM230" s="563"/>
      <c r="FN230" s="563"/>
      <c r="FO230" s="563"/>
      <c r="FP230" s="563"/>
      <c r="FQ230" s="563"/>
      <c r="FR230" s="563"/>
      <c r="FS230" s="563"/>
      <c r="FT230" s="563"/>
      <c r="FU230" s="563"/>
      <c r="FV230" s="563"/>
      <c r="FW230" s="563"/>
      <c r="FX230" s="563"/>
      <c r="FY230" s="563"/>
      <c r="FZ230" s="563"/>
      <c r="GA230" s="563"/>
      <c r="GB230" s="563"/>
      <c r="GC230" s="563"/>
      <c r="GD230" s="563"/>
      <c r="GE230" s="563"/>
      <c r="GF230" s="563"/>
      <c r="GG230" s="563"/>
      <c r="GH230" s="563"/>
      <c r="GI230" s="563"/>
      <c r="GJ230" s="563"/>
      <c r="GK230" s="563"/>
      <c r="GL230" s="563"/>
      <c r="GM230" s="563"/>
      <c r="GN230" s="563"/>
      <c r="GO230" s="563"/>
      <c r="GP230" s="563"/>
      <c r="GQ230" s="563"/>
      <c r="GR230" s="563"/>
      <c r="GS230" s="563"/>
      <c r="GT230" s="563"/>
      <c r="GU230" s="563"/>
      <c r="GV230" s="563"/>
      <c r="GW230" s="563"/>
      <c r="GX230" s="563"/>
      <c r="GY230" s="563"/>
      <c r="GZ230" s="563"/>
      <c r="HA230" s="563"/>
      <c r="HB230" s="563"/>
      <c r="HC230" s="563"/>
      <c r="HD230" s="563"/>
      <c r="HE230" s="563"/>
      <c r="HF230" s="563"/>
      <c r="HG230" s="563"/>
      <c r="HH230" s="563"/>
      <c r="HI230" s="563"/>
      <c r="HJ230" s="563"/>
      <c r="HK230" s="563"/>
      <c r="HL230" s="563"/>
      <c r="HM230" s="563"/>
      <c r="HN230" s="563"/>
      <c r="HO230" s="563"/>
      <c r="HP230" s="563"/>
      <c r="HQ230" s="563"/>
      <c r="HR230" s="563"/>
      <c r="HS230" s="563"/>
      <c r="HT230" s="563"/>
      <c r="HU230" s="563"/>
      <c r="HV230" s="563"/>
      <c r="HW230" s="563"/>
      <c r="HX230" s="563"/>
      <c r="HY230" s="563"/>
      <c r="HZ230" s="563"/>
      <c r="IA230" s="563"/>
      <c r="IB230" s="563"/>
      <c r="IC230" s="563"/>
      <c r="ID230" s="563"/>
      <c r="IE230" s="563"/>
      <c r="IF230" s="563"/>
      <c r="IG230" s="563"/>
      <c r="IH230" s="563"/>
      <c r="II230" s="563"/>
      <c r="IJ230" s="563"/>
      <c r="IK230" s="563"/>
      <c r="IL230" s="563"/>
      <c r="IM230" s="563"/>
      <c r="IN230" s="563"/>
      <c r="IO230" s="563"/>
      <c r="IP230" s="563"/>
      <c r="IQ230" s="563"/>
      <c r="IR230" s="563"/>
      <c r="IS230" s="563"/>
      <c r="IT230" s="563"/>
      <c r="IU230" s="563"/>
      <c r="IV230" s="563"/>
    </row>
    <row r="231" spans="1:256" s="481" customFormat="1" ht="12.75" customHeight="1">
      <c r="A231" s="1095">
        <f>+A227+1</f>
        <v>76</v>
      </c>
      <c r="B231" s="1097" t="s">
        <v>327</v>
      </c>
      <c r="C231" s="1108" t="s">
        <v>337</v>
      </c>
      <c r="D231" s="1101" t="s">
        <v>180</v>
      </c>
      <c r="E231" s="1101">
        <v>10</v>
      </c>
      <c r="F231" s="1052">
        <f>0.001*10.6</f>
        <v>1.06E-2</v>
      </c>
      <c r="G231" s="1052"/>
      <c r="H231" s="1052"/>
      <c r="I231" s="1052">
        <f>0.001*224.4</f>
        <v>0.22440000000000002</v>
      </c>
      <c r="J231" s="1052"/>
      <c r="K231" s="1052"/>
      <c r="L231" s="387"/>
      <c r="M231" s="661"/>
      <c r="N231" s="661"/>
      <c r="O231" s="661"/>
      <c r="P231" s="662"/>
      <c r="Q231" s="389"/>
      <c r="R231" s="1044">
        <f>F232+I232</f>
        <v>0.74797076400000007</v>
      </c>
      <c r="S231" s="1044">
        <f>R231+R232</f>
        <v>0.74797076400000007</v>
      </c>
      <c r="T231" s="1044">
        <f>E231*S231</f>
        <v>7.4797076400000009</v>
      </c>
      <c r="U231" s="1105"/>
      <c r="V231" s="1093" t="s">
        <v>285</v>
      </c>
      <c r="W231" s="1050" t="s">
        <v>201</v>
      </c>
      <c r="X231" s="242"/>
      <c r="Y231" s="242"/>
      <c r="Z231" s="242"/>
      <c r="AA231" s="242"/>
      <c r="AB231" s="242"/>
      <c r="AC231" s="242"/>
      <c r="AD231" s="242"/>
      <c r="AE231" s="242"/>
    </row>
    <row r="232" spans="1:256" s="481" customFormat="1" ht="12.75" customHeight="1">
      <c r="A232" s="1096"/>
      <c r="B232" s="1098"/>
      <c r="C232" s="1109"/>
      <c r="D232" s="1102"/>
      <c r="E232" s="1103"/>
      <c r="F232" s="1052">
        <f>F231*$J$13/1000</f>
        <v>2.4772200000000001E-2</v>
      </c>
      <c r="G232" s="1052"/>
      <c r="H232" s="1052"/>
      <c r="I232" s="1052">
        <f>I231*$Q$13/1000</f>
        <v>0.72319856400000004</v>
      </c>
      <c r="J232" s="1052"/>
      <c r="K232" s="1052"/>
      <c r="L232" s="390"/>
      <c r="M232" s="509"/>
      <c r="N232" s="509"/>
      <c r="O232" s="509"/>
      <c r="P232" s="391"/>
      <c r="Q232" s="392"/>
      <c r="R232" s="1104"/>
      <c r="S232" s="1045"/>
      <c r="T232" s="1045"/>
      <c r="U232" s="1106"/>
      <c r="V232" s="1094"/>
      <c r="W232" s="1051"/>
      <c r="X232" s="242"/>
      <c r="Y232" s="242"/>
      <c r="Z232" s="242"/>
      <c r="AA232" s="242"/>
      <c r="AB232" s="242"/>
      <c r="AC232" s="242"/>
      <c r="AD232" s="242"/>
      <c r="AE232" s="242"/>
    </row>
    <row r="233" spans="1:256" s="481" customFormat="1" ht="12.75" customHeight="1">
      <c r="A233" s="1095">
        <f>+A231+1</f>
        <v>77</v>
      </c>
      <c r="B233" s="1097" t="s">
        <v>241</v>
      </c>
      <c r="C233" s="1108" t="s">
        <v>354</v>
      </c>
      <c r="D233" s="1101" t="s">
        <v>180</v>
      </c>
      <c r="E233" s="1101">
        <v>10</v>
      </c>
      <c r="F233" s="1052">
        <f>0.001*14.3</f>
        <v>1.43E-2</v>
      </c>
      <c r="G233" s="1052"/>
      <c r="H233" s="1052"/>
      <c r="I233" s="1052">
        <f>0.001*302.7</f>
        <v>0.30269999999999997</v>
      </c>
      <c r="J233" s="1052"/>
      <c r="K233" s="1052"/>
      <c r="L233" s="387"/>
      <c r="M233" s="661"/>
      <c r="N233" s="661"/>
      <c r="O233" s="661"/>
      <c r="P233" s="662"/>
      <c r="Q233" s="389"/>
      <c r="R233" s="1044">
        <f>F234+I234</f>
        <v>1.0089636869999998</v>
      </c>
      <c r="S233" s="1044">
        <f>R233+R234</f>
        <v>1.0089636869999998</v>
      </c>
      <c r="T233" s="1044">
        <f>E233*S233</f>
        <v>10.089636869999998</v>
      </c>
      <c r="U233" s="1105"/>
      <c r="V233" s="1093" t="s">
        <v>355</v>
      </c>
      <c r="W233" s="1050" t="s">
        <v>201</v>
      </c>
      <c r="X233" s="242"/>
      <c r="Y233" s="242"/>
      <c r="Z233" s="242"/>
      <c r="AA233" s="242"/>
      <c r="AB233" s="242"/>
      <c r="AC233" s="242"/>
      <c r="AD233" s="242"/>
      <c r="AE233" s="242"/>
    </row>
    <row r="234" spans="1:256" s="481" customFormat="1" ht="12.75" customHeight="1">
      <c r="A234" s="1096"/>
      <c r="B234" s="1098"/>
      <c r="C234" s="1109"/>
      <c r="D234" s="1102"/>
      <c r="E234" s="1103"/>
      <c r="F234" s="1052">
        <f>F233*$J$13/1000</f>
        <v>3.34191E-2</v>
      </c>
      <c r="G234" s="1052"/>
      <c r="H234" s="1052"/>
      <c r="I234" s="1052">
        <f>I233*$Q$13/1000</f>
        <v>0.97554458699999991</v>
      </c>
      <c r="J234" s="1052"/>
      <c r="K234" s="1052"/>
      <c r="L234" s="390"/>
      <c r="M234" s="509"/>
      <c r="N234" s="509"/>
      <c r="O234" s="509"/>
      <c r="P234" s="391"/>
      <c r="Q234" s="392"/>
      <c r="R234" s="1104"/>
      <c r="S234" s="1045"/>
      <c r="T234" s="1045"/>
      <c r="U234" s="1106"/>
      <c r="V234" s="1094"/>
      <c r="W234" s="1051"/>
      <c r="X234" s="242"/>
      <c r="Y234" s="242"/>
      <c r="Z234" s="242"/>
      <c r="AA234" s="242"/>
      <c r="AB234" s="242"/>
      <c r="AC234" s="242"/>
      <c r="AD234" s="242"/>
      <c r="AE234" s="242"/>
    </row>
    <row r="235" spans="1:256" s="481" customFormat="1" ht="12.75" customHeight="1">
      <c r="A235" s="1095">
        <f>+A233+1</f>
        <v>78</v>
      </c>
      <c r="B235" s="1097" t="s">
        <v>343</v>
      </c>
      <c r="C235" s="1099" t="s">
        <v>385</v>
      </c>
      <c r="D235" s="1101" t="s">
        <v>180</v>
      </c>
      <c r="E235" s="1101">
        <v>5</v>
      </c>
      <c r="F235" s="1052">
        <f>0.001*16.8</f>
        <v>1.6800000000000002E-2</v>
      </c>
      <c r="G235" s="1052"/>
      <c r="H235" s="1052"/>
      <c r="I235" s="1052">
        <f>0.001*355.2</f>
        <v>0.35520000000000002</v>
      </c>
      <c r="J235" s="1052"/>
      <c r="K235" s="1052"/>
      <c r="L235" s="387"/>
      <c r="M235" s="661"/>
      <c r="N235" s="661"/>
      <c r="O235" s="661"/>
      <c r="P235" s="662"/>
      <c r="Q235" s="389"/>
      <c r="R235" s="1044">
        <f>F236+I236</f>
        <v>1.184003712</v>
      </c>
      <c r="S235" s="1044">
        <f>R235+R236</f>
        <v>1.184003712</v>
      </c>
      <c r="T235" s="1044">
        <f>E235*S235</f>
        <v>5.9200185599999999</v>
      </c>
      <c r="U235" s="1105"/>
      <c r="V235" s="1093" t="s">
        <v>386</v>
      </c>
      <c r="W235" s="1050" t="s">
        <v>201</v>
      </c>
      <c r="X235" s="242"/>
      <c r="Y235" s="242"/>
      <c r="Z235" s="242"/>
      <c r="AA235" s="242"/>
      <c r="AB235" s="242"/>
      <c r="AC235" s="242"/>
      <c r="AD235" s="242"/>
      <c r="AE235" s="242"/>
    </row>
    <row r="236" spans="1:256" s="481" customFormat="1" ht="12.75" customHeight="1">
      <c r="A236" s="1096"/>
      <c r="B236" s="1098"/>
      <c r="C236" s="1100"/>
      <c r="D236" s="1102"/>
      <c r="E236" s="1103"/>
      <c r="F236" s="1052">
        <f>F235*$J$13/1000</f>
        <v>3.9261600000000008E-2</v>
      </c>
      <c r="G236" s="1052"/>
      <c r="H236" s="1052"/>
      <c r="I236" s="1052">
        <f>I235*$Q$13/1000</f>
        <v>1.1447421120000001</v>
      </c>
      <c r="J236" s="1052"/>
      <c r="K236" s="1052"/>
      <c r="L236" s="390"/>
      <c r="M236" s="509"/>
      <c r="N236" s="509"/>
      <c r="O236" s="509"/>
      <c r="P236" s="391"/>
      <c r="Q236" s="392"/>
      <c r="R236" s="1104"/>
      <c r="S236" s="1045"/>
      <c r="T236" s="1045"/>
      <c r="U236" s="1106"/>
      <c r="V236" s="1094"/>
      <c r="W236" s="1051"/>
      <c r="X236" s="242"/>
      <c r="Y236" s="242"/>
      <c r="Z236" s="242"/>
      <c r="AA236" s="242"/>
      <c r="AB236" s="242"/>
      <c r="AC236" s="242"/>
      <c r="AD236" s="242"/>
      <c r="AE236" s="242"/>
    </row>
    <row r="237" spans="1:256" s="420" customFormat="1" ht="12.75" customHeight="1">
      <c r="A237" s="1095">
        <f>+A235+1</f>
        <v>79</v>
      </c>
      <c r="B237" s="1097" t="s">
        <v>332</v>
      </c>
      <c r="C237" s="1108" t="s">
        <v>522</v>
      </c>
      <c r="D237" s="1101" t="s">
        <v>180</v>
      </c>
      <c r="E237" s="1101">
        <v>16</v>
      </c>
      <c r="F237" s="1052"/>
      <c r="G237" s="1052"/>
      <c r="H237" s="1052"/>
      <c r="I237" s="1052">
        <f>0.001*25</f>
        <v>2.5000000000000001E-2</v>
      </c>
      <c r="J237" s="1052"/>
      <c r="K237" s="1052"/>
      <c r="L237" s="393"/>
      <c r="M237" s="394"/>
      <c r="N237" s="395"/>
      <c r="O237" s="395"/>
      <c r="P237" s="396"/>
      <c r="Q237" s="397"/>
      <c r="R237" s="1044">
        <f>F238+I238</f>
        <v>8.0570249999999996E-2</v>
      </c>
      <c r="S237" s="1044">
        <f>R237+R238</f>
        <v>8.0570249999999996E-2</v>
      </c>
      <c r="T237" s="1044">
        <f>E237*S237</f>
        <v>1.2891239999999999</v>
      </c>
      <c r="U237" s="1046"/>
      <c r="V237" s="1048" t="s">
        <v>341</v>
      </c>
      <c r="W237" s="1050" t="s">
        <v>201</v>
      </c>
      <c r="X237" s="242"/>
      <c r="Y237" s="242"/>
      <c r="Z237" s="242"/>
      <c r="AA237" s="242"/>
      <c r="AB237" s="242"/>
      <c r="AC237" s="242"/>
      <c r="AD237" s="242"/>
      <c r="AE237" s="242"/>
    </row>
    <row r="238" spans="1:256" s="420" customFormat="1" ht="12.75" customHeight="1">
      <c r="A238" s="1107"/>
      <c r="B238" s="1098"/>
      <c r="C238" s="1109"/>
      <c r="D238" s="1102"/>
      <c r="E238" s="1102"/>
      <c r="F238" s="1052"/>
      <c r="G238" s="1052"/>
      <c r="H238" s="1052"/>
      <c r="I238" s="1052">
        <f>I237*$Q$13/1000</f>
        <v>8.0570249999999996E-2</v>
      </c>
      <c r="J238" s="1052"/>
      <c r="K238" s="1052"/>
      <c r="L238" s="390"/>
      <c r="M238" s="401"/>
      <c r="N238" s="402"/>
      <c r="O238" s="402"/>
      <c r="P238" s="391"/>
      <c r="Q238" s="403"/>
      <c r="R238" s="1045"/>
      <c r="S238" s="1045"/>
      <c r="T238" s="1045"/>
      <c r="U238" s="1047"/>
      <c r="V238" s="1049"/>
      <c r="W238" s="1051"/>
      <c r="X238" s="242"/>
      <c r="Y238" s="242"/>
      <c r="Z238" s="242"/>
      <c r="AA238" s="242"/>
      <c r="AB238" s="242"/>
      <c r="AC238" s="242"/>
      <c r="AD238" s="242"/>
      <c r="AE238" s="242"/>
    </row>
    <row r="239" spans="1:256" s="562" customFormat="1" ht="12.75">
      <c r="A239" s="1095">
        <f>+A237+1</f>
        <v>80</v>
      </c>
      <c r="B239" s="970" t="s">
        <v>370</v>
      </c>
      <c r="C239" s="972" t="s">
        <v>513</v>
      </c>
      <c r="D239" s="974" t="s">
        <v>180</v>
      </c>
      <c r="E239" s="976">
        <v>1.25</v>
      </c>
      <c r="F239" s="978">
        <v>0.45</v>
      </c>
      <c r="G239" s="978"/>
      <c r="H239" s="978"/>
      <c r="I239" s="978">
        <v>0.37</v>
      </c>
      <c r="J239" s="978"/>
      <c r="K239" s="978"/>
      <c r="L239" s="724"/>
      <c r="M239" s="725"/>
      <c r="N239" s="726"/>
      <c r="O239" s="726"/>
      <c r="P239" s="726"/>
      <c r="Q239" s="763"/>
      <c r="R239" s="772">
        <f>F240+I240</f>
        <v>2.2440897</v>
      </c>
      <c r="S239" s="976">
        <f>R239+R240</f>
        <v>7.5456039600000011</v>
      </c>
      <c r="T239" s="976">
        <f>E239*S239</f>
        <v>9.4320049500000014</v>
      </c>
      <c r="U239" s="980">
        <f>E239*Q240</f>
        <v>6.6268928250000014</v>
      </c>
      <c r="Y239" s="727"/>
      <c r="Z239" s="727"/>
      <c r="AA239" s="727"/>
      <c r="AB239" s="727"/>
      <c r="AC239" s="727"/>
      <c r="AD239" s="727"/>
      <c r="AE239" s="727"/>
      <c r="AF239" s="727"/>
      <c r="AG239" s="727"/>
      <c r="AH239" s="727"/>
      <c r="AI239" s="727"/>
      <c r="AJ239" s="727"/>
      <c r="AK239" s="727"/>
      <c r="AL239" s="727"/>
      <c r="AM239" s="727"/>
      <c r="AN239" s="727"/>
      <c r="AO239" s="727"/>
      <c r="AP239" s="727"/>
      <c r="AQ239" s="727"/>
      <c r="AR239" s="727"/>
      <c r="AS239" s="727"/>
      <c r="AT239" s="727"/>
      <c r="AU239" s="727"/>
      <c r="AV239" s="727"/>
      <c r="AW239" s="727"/>
      <c r="AX239" s="727"/>
      <c r="AY239" s="727"/>
      <c r="AZ239" s="727"/>
      <c r="BA239" s="727"/>
      <c r="BB239" s="727"/>
      <c r="BC239" s="727"/>
      <c r="BD239" s="727"/>
      <c r="BE239" s="727"/>
      <c r="BF239" s="727"/>
      <c r="BG239" s="727"/>
      <c r="BH239" s="727"/>
      <c r="BI239" s="727"/>
      <c r="BJ239" s="727"/>
      <c r="BK239" s="727"/>
      <c r="BL239" s="727"/>
      <c r="BM239" s="727"/>
      <c r="BN239" s="727"/>
      <c r="BO239" s="727"/>
      <c r="BP239" s="727"/>
      <c r="BQ239" s="727"/>
      <c r="BR239" s="727"/>
      <c r="BS239" s="727"/>
      <c r="BT239" s="727"/>
      <c r="BU239" s="727"/>
      <c r="BV239" s="727"/>
      <c r="BW239" s="727"/>
      <c r="BX239" s="727"/>
      <c r="BY239" s="727"/>
      <c r="BZ239" s="727"/>
      <c r="CA239" s="727"/>
      <c r="CB239" s="727"/>
      <c r="CC239" s="727"/>
      <c r="CD239" s="727"/>
      <c r="CE239" s="727"/>
      <c r="CF239" s="727"/>
      <c r="CG239" s="727"/>
      <c r="CH239" s="727"/>
      <c r="CI239" s="727"/>
      <c r="CJ239" s="727"/>
      <c r="CK239" s="727"/>
      <c r="CL239" s="727"/>
      <c r="CM239" s="727"/>
      <c r="CN239" s="727"/>
      <c r="CO239" s="727"/>
      <c r="CP239" s="727"/>
      <c r="CQ239" s="727"/>
      <c r="CR239" s="727"/>
      <c r="CS239" s="727"/>
      <c r="CT239" s="727"/>
      <c r="CU239" s="727"/>
      <c r="CV239" s="727"/>
      <c r="CW239" s="727"/>
      <c r="CX239" s="727"/>
      <c r="CY239" s="727"/>
      <c r="CZ239" s="727"/>
      <c r="DA239" s="727"/>
      <c r="DB239" s="727"/>
      <c r="DC239" s="727"/>
      <c r="DD239" s="727"/>
      <c r="DE239" s="727"/>
      <c r="DF239" s="727"/>
      <c r="DG239" s="727"/>
      <c r="DH239" s="727"/>
      <c r="DI239" s="727"/>
      <c r="DJ239" s="727"/>
      <c r="DK239" s="727"/>
      <c r="DL239" s="727"/>
      <c r="DM239" s="727"/>
      <c r="DN239" s="727"/>
      <c r="DO239" s="727"/>
      <c r="DP239" s="727"/>
      <c r="DQ239" s="727"/>
      <c r="DR239" s="727"/>
      <c r="DS239" s="727"/>
      <c r="DT239" s="727"/>
      <c r="DU239" s="727"/>
      <c r="DV239" s="727"/>
      <c r="DW239" s="727"/>
      <c r="DX239" s="727"/>
      <c r="DY239" s="727"/>
      <c r="DZ239" s="727"/>
      <c r="EA239" s="727"/>
      <c r="EB239" s="727"/>
      <c r="EC239" s="727"/>
      <c r="ED239" s="727"/>
      <c r="EE239" s="727"/>
      <c r="EF239" s="727"/>
      <c r="EG239" s="727"/>
      <c r="EH239" s="727"/>
      <c r="EI239" s="727"/>
      <c r="EJ239" s="727"/>
      <c r="EK239" s="727"/>
      <c r="EL239" s="727"/>
      <c r="EM239" s="727"/>
      <c r="EN239" s="727"/>
      <c r="EO239" s="727"/>
      <c r="EP239" s="727"/>
      <c r="EQ239" s="727"/>
      <c r="ER239" s="727"/>
      <c r="ES239" s="727"/>
      <c r="ET239" s="727"/>
      <c r="EU239" s="727"/>
      <c r="EV239" s="727"/>
      <c r="EW239" s="727"/>
      <c r="EX239" s="727"/>
      <c r="EY239" s="727"/>
      <c r="EZ239" s="727"/>
      <c r="FA239" s="727"/>
      <c r="FB239" s="727"/>
      <c r="FC239" s="727"/>
      <c r="FD239" s="727"/>
      <c r="FE239" s="727"/>
      <c r="FF239" s="727"/>
      <c r="FG239" s="727"/>
      <c r="FH239" s="727"/>
      <c r="FI239" s="727"/>
      <c r="FJ239" s="727"/>
      <c r="FK239" s="727"/>
      <c r="FL239" s="727"/>
      <c r="FM239" s="727"/>
      <c r="FN239" s="727"/>
      <c r="FO239" s="727"/>
      <c r="FP239" s="727"/>
      <c r="FQ239" s="727"/>
      <c r="FR239" s="727"/>
      <c r="FS239" s="727"/>
      <c r="FT239" s="727"/>
      <c r="FU239" s="727"/>
      <c r="FV239" s="727"/>
      <c r="FW239" s="727"/>
      <c r="FX239" s="727"/>
      <c r="FY239" s="727"/>
      <c r="FZ239" s="727"/>
      <c r="GA239" s="727"/>
      <c r="GB239" s="727"/>
      <c r="GC239" s="727"/>
      <c r="GD239" s="727"/>
      <c r="GE239" s="727"/>
      <c r="GF239" s="727"/>
      <c r="GG239" s="727"/>
      <c r="GH239" s="727"/>
      <c r="GI239" s="727"/>
      <c r="GJ239" s="727"/>
      <c r="GK239" s="727"/>
      <c r="GL239" s="727"/>
      <c r="GM239" s="727"/>
      <c r="GN239" s="727"/>
      <c r="GO239" s="727"/>
      <c r="GP239" s="727"/>
      <c r="GQ239" s="727"/>
      <c r="GR239" s="727"/>
      <c r="GS239" s="727"/>
      <c r="GT239" s="727"/>
      <c r="GU239" s="727"/>
      <c r="GV239" s="727"/>
      <c r="GW239" s="727"/>
      <c r="GX239" s="727"/>
      <c r="GY239" s="727"/>
      <c r="GZ239" s="727"/>
      <c r="HA239" s="727"/>
      <c r="HB239" s="727"/>
      <c r="HC239" s="727"/>
      <c r="HD239" s="727"/>
      <c r="HE239" s="727"/>
      <c r="HF239" s="727"/>
      <c r="HG239" s="727"/>
      <c r="HH239" s="727"/>
      <c r="HI239" s="727"/>
      <c r="HJ239" s="727"/>
      <c r="HK239" s="727"/>
      <c r="HL239" s="727"/>
      <c r="HM239" s="727"/>
      <c r="HN239" s="727"/>
      <c r="HO239" s="727"/>
      <c r="HP239" s="727"/>
      <c r="HQ239" s="727"/>
      <c r="HR239" s="727"/>
      <c r="HS239" s="727"/>
      <c r="HT239" s="727"/>
      <c r="HU239" s="727"/>
      <c r="HV239" s="727"/>
      <c r="HW239" s="727"/>
      <c r="HX239" s="727"/>
      <c r="HY239" s="727"/>
      <c r="HZ239" s="727"/>
      <c r="IA239" s="727"/>
      <c r="IB239" s="727"/>
      <c r="IC239" s="727"/>
      <c r="ID239" s="727"/>
      <c r="IE239" s="727"/>
      <c r="IF239" s="727"/>
      <c r="IG239" s="727"/>
      <c r="IH239" s="727"/>
      <c r="II239" s="727"/>
      <c r="IJ239" s="727"/>
      <c r="IK239" s="727"/>
      <c r="IL239" s="727"/>
      <c r="IM239" s="727"/>
      <c r="IN239" s="727"/>
      <c r="IO239" s="727"/>
      <c r="IP239" s="727"/>
      <c r="IQ239" s="727"/>
      <c r="IR239" s="727"/>
      <c r="IS239" s="727"/>
      <c r="IT239" s="727"/>
      <c r="IU239" s="727"/>
      <c r="IV239" s="727"/>
    </row>
    <row r="240" spans="1:256" s="562" customFormat="1" ht="23.25" customHeight="1">
      <c r="A240" s="1107"/>
      <c r="B240" s="971"/>
      <c r="C240" s="973"/>
      <c r="D240" s="975"/>
      <c r="E240" s="977"/>
      <c r="F240" s="978">
        <f>F239*$J$13/1000</f>
        <v>1.0516500000000002</v>
      </c>
      <c r="G240" s="978"/>
      <c r="H240" s="978"/>
      <c r="I240" s="978">
        <f>I239*$Q$13/1000</f>
        <v>1.1924397</v>
      </c>
      <c r="J240" s="978"/>
      <c r="K240" s="978"/>
      <c r="L240" s="919" t="s">
        <v>371</v>
      </c>
      <c r="M240" s="920" t="s">
        <v>180</v>
      </c>
      <c r="N240" s="921">
        <v>1.1499999999999999</v>
      </c>
      <c r="O240" s="922">
        <f>E239*N240</f>
        <v>1.4375</v>
      </c>
      <c r="P240" s="923">
        <v>4</v>
      </c>
      <c r="Q240" s="924">
        <f>N240*P240*$N$11</f>
        <v>5.3015142600000011</v>
      </c>
      <c r="R240" s="925">
        <f>SUM(Q240:Q240)</f>
        <v>5.3015142600000011</v>
      </c>
      <c r="S240" s="977"/>
      <c r="T240" s="979"/>
      <c r="U240" s="981"/>
      <c r="Y240" s="727"/>
      <c r="Z240" s="727"/>
      <c r="AA240" s="727"/>
      <c r="AB240" s="727"/>
      <c r="AC240" s="727"/>
      <c r="AD240" s="727"/>
      <c r="AE240" s="727"/>
      <c r="AF240" s="727"/>
      <c r="AG240" s="727"/>
      <c r="AH240" s="727"/>
      <c r="AI240" s="727"/>
      <c r="AJ240" s="727"/>
      <c r="AK240" s="727"/>
      <c r="AL240" s="727"/>
      <c r="AM240" s="727"/>
      <c r="AN240" s="727"/>
      <c r="AO240" s="727"/>
      <c r="AP240" s="727"/>
      <c r="AQ240" s="727"/>
      <c r="AR240" s="727"/>
      <c r="AS240" s="727"/>
      <c r="AT240" s="727"/>
      <c r="AU240" s="727"/>
      <c r="AV240" s="727"/>
      <c r="AW240" s="727"/>
      <c r="AX240" s="727"/>
      <c r="AY240" s="727"/>
      <c r="AZ240" s="727"/>
      <c r="BA240" s="727"/>
      <c r="BB240" s="727"/>
      <c r="BC240" s="727"/>
      <c r="BD240" s="727"/>
      <c r="BE240" s="727"/>
      <c r="BF240" s="727"/>
      <c r="BG240" s="727"/>
      <c r="BH240" s="727"/>
      <c r="BI240" s="727"/>
      <c r="BJ240" s="727"/>
      <c r="BK240" s="727"/>
      <c r="BL240" s="727"/>
      <c r="BM240" s="727"/>
      <c r="BN240" s="727"/>
      <c r="BO240" s="727"/>
      <c r="BP240" s="727"/>
      <c r="BQ240" s="727"/>
      <c r="BR240" s="727"/>
      <c r="BS240" s="727"/>
      <c r="BT240" s="727"/>
      <c r="BU240" s="727"/>
      <c r="BV240" s="727"/>
      <c r="BW240" s="727"/>
      <c r="BX240" s="727"/>
      <c r="BY240" s="727"/>
      <c r="BZ240" s="727"/>
      <c r="CA240" s="727"/>
      <c r="CB240" s="727"/>
      <c r="CC240" s="727"/>
      <c r="CD240" s="727"/>
      <c r="CE240" s="727"/>
      <c r="CF240" s="727"/>
      <c r="CG240" s="727"/>
      <c r="CH240" s="727"/>
      <c r="CI240" s="727"/>
      <c r="CJ240" s="727"/>
      <c r="CK240" s="727"/>
      <c r="CL240" s="727"/>
      <c r="CM240" s="727"/>
      <c r="CN240" s="727"/>
      <c r="CO240" s="727"/>
      <c r="CP240" s="727"/>
      <c r="CQ240" s="727"/>
      <c r="CR240" s="727"/>
      <c r="CS240" s="727"/>
      <c r="CT240" s="727"/>
      <c r="CU240" s="727"/>
      <c r="CV240" s="727"/>
      <c r="CW240" s="727"/>
      <c r="CX240" s="727"/>
      <c r="CY240" s="727"/>
      <c r="CZ240" s="727"/>
      <c r="DA240" s="727"/>
      <c r="DB240" s="727"/>
      <c r="DC240" s="727"/>
      <c r="DD240" s="727"/>
      <c r="DE240" s="727"/>
      <c r="DF240" s="727"/>
      <c r="DG240" s="727"/>
      <c r="DH240" s="727"/>
      <c r="DI240" s="727"/>
      <c r="DJ240" s="727"/>
      <c r="DK240" s="727"/>
      <c r="DL240" s="727"/>
      <c r="DM240" s="727"/>
      <c r="DN240" s="727"/>
      <c r="DO240" s="727"/>
      <c r="DP240" s="727"/>
      <c r="DQ240" s="727"/>
      <c r="DR240" s="727"/>
      <c r="DS240" s="727"/>
      <c r="DT240" s="727"/>
      <c r="DU240" s="727"/>
      <c r="DV240" s="727"/>
      <c r="DW240" s="727"/>
      <c r="DX240" s="727"/>
      <c r="DY240" s="727"/>
      <c r="DZ240" s="727"/>
      <c r="EA240" s="727"/>
      <c r="EB240" s="727"/>
      <c r="EC240" s="727"/>
      <c r="ED240" s="727"/>
      <c r="EE240" s="727"/>
      <c r="EF240" s="727"/>
      <c r="EG240" s="727"/>
      <c r="EH240" s="727"/>
      <c r="EI240" s="727"/>
      <c r="EJ240" s="727"/>
      <c r="EK240" s="727"/>
      <c r="EL240" s="727"/>
      <c r="EM240" s="727"/>
      <c r="EN240" s="727"/>
      <c r="EO240" s="727"/>
      <c r="EP240" s="727"/>
      <c r="EQ240" s="727"/>
      <c r="ER240" s="727"/>
      <c r="ES240" s="727"/>
      <c r="ET240" s="727"/>
      <c r="EU240" s="727"/>
      <c r="EV240" s="727"/>
      <c r="EW240" s="727"/>
      <c r="EX240" s="727"/>
      <c r="EY240" s="727"/>
      <c r="EZ240" s="727"/>
      <c r="FA240" s="727"/>
      <c r="FB240" s="727"/>
      <c r="FC240" s="727"/>
      <c r="FD240" s="727"/>
      <c r="FE240" s="727"/>
      <c r="FF240" s="727"/>
      <c r="FG240" s="727"/>
      <c r="FH240" s="727"/>
      <c r="FI240" s="727"/>
      <c r="FJ240" s="727"/>
      <c r="FK240" s="727"/>
      <c r="FL240" s="727"/>
      <c r="FM240" s="727"/>
      <c r="FN240" s="727"/>
      <c r="FO240" s="727"/>
      <c r="FP240" s="727"/>
      <c r="FQ240" s="727"/>
      <c r="FR240" s="727"/>
      <c r="FS240" s="727"/>
      <c r="FT240" s="727"/>
      <c r="FU240" s="727"/>
      <c r="FV240" s="727"/>
      <c r="FW240" s="727"/>
      <c r="FX240" s="727"/>
      <c r="FY240" s="727"/>
      <c r="FZ240" s="727"/>
      <c r="GA240" s="727"/>
      <c r="GB240" s="727"/>
      <c r="GC240" s="727"/>
      <c r="GD240" s="727"/>
      <c r="GE240" s="727"/>
      <c r="GF240" s="727"/>
      <c r="GG240" s="727"/>
      <c r="GH240" s="727"/>
      <c r="GI240" s="727"/>
      <c r="GJ240" s="727"/>
      <c r="GK240" s="727"/>
      <c r="GL240" s="727"/>
      <c r="GM240" s="727"/>
      <c r="GN240" s="727"/>
      <c r="GO240" s="727"/>
      <c r="GP240" s="727"/>
      <c r="GQ240" s="727"/>
      <c r="GR240" s="727"/>
      <c r="GS240" s="727"/>
      <c r="GT240" s="727"/>
      <c r="GU240" s="727"/>
      <c r="GV240" s="727"/>
      <c r="GW240" s="727"/>
      <c r="GX240" s="727"/>
      <c r="GY240" s="727"/>
      <c r="GZ240" s="727"/>
      <c r="HA240" s="727"/>
      <c r="HB240" s="727"/>
      <c r="HC240" s="727"/>
      <c r="HD240" s="727"/>
      <c r="HE240" s="727"/>
      <c r="HF240" s="727"/>
      <c r="HG240" s="727"/>
      <c r="HH240" s="727"/>
      <c r="HI240" s="727"/>
      <c r="HJ240" s="727"/>
      <c r="HK240" s="727"/>
      <c r="HL240" s="727"/>
      <c r="HM240" s="727"/>
      <c r="HN240" s="727"/>
      <c r="HO240" s="727"/>
      <c r="HP240" s="727"/>
      <c r="HQ240" s="727"/>
      <c r="HR240" s="727"/>
      <c r="HS240" s="727"/>
      <c r="HT240" s="727"/>
      <c r="HU240" s="727"/>
      <c r="HV240" s="727"/>
      <c r="HW240" s="727"/>
      <c r="HX240" s="727"/>
      <c r="HY240" s="727"/>
      <c r="HZ240" s="727"/>
      <c r="IA240" s="727"/>
      <c r="IB240" s="727"/>
      <c r="IC240" s="727"/>
      <c r="ID240" s="727"/>
      <c r="IE240" s="727"/>
      <c r="IF240" s="727"/>
      <c r="IG240" s="727"/>
      <c r="IH240" s="727"/>
      <c r="II240" s="727"/>
      <c r="IJ240" s="727"/>
      <c r="IK240" s="727"/>
      <c r="IL240" s="727"/>
      <c r="IM240" s="727"/>
      <c r="IN240" s="727"/>
      <c r="IO240" s="727"/>
      <c r="IP240" s="727"/>
      <c r="IQ240" s="727"/>
      <c r="IR240" s="727"/>
      <c r="IS240" s="727"/>
      <c r="IT240" s="727"/>
      <c r="IU240" s="727"/>
      <c r="IV240" s="727"/>
    </row>
    <row r="241" spans="1:39" s="721" customFormat="1" ht="12.75" customHeight="1">
      <c r="A241" s="1075">
        <f t="shared" ref="A241" si="14">+A239+1</f>
        <v>81</v>
      </c>
      <c r="B241" s="1076" t="s">
        <v>498</v>
      </c>
      <c r="C241" s="1078" t="s">
        <v>514</v>
      </c>
      <c r="D241" s="1080" t="s">
        <v>184</v>
      </c>
      <c r="E241" s="1082">
        <v>2</v>
      </c>
      <c r="F241" s="1088">
        <v>1.82</v>
      </c>
      <c r="G241" s="1089"/>
      <c r="H241" s="1090"/>
      <c r="I241" s="1427">
        <v>1.06</v>
      </c>
      <c r="J241" s="1428"/>
      <c r="K241" s="1429"/>
      <c r="L241" s="864"/>
      <c r="M241" s="638"/>
      <c r="N241" s="756"/>
      <c r="O241" s="756"/>
      <c r="P241" s="756"/>
      <c r="Q241" s="749"/>
      <c r="R241" s="927">
        <f>F242+I242</f>
        <v>7.6695186000000009</v>
      </c>
      <c r="S241" s="1084">
        <f>R241+R242</f>
        <v>13.385933976000002</v>
      </c>
      <c r="T241" s="1084">
        <f>E241*S241</f>
        <v>26.771867952000004</v>
      </c>
      <c r="U241" s="1086">
        <f>R242*E241</f>
        <v>11.432830752000003</v>
      </c>
      <c r="Y241" s="888"/>
      <c r="Z241" s="888"/>
      <c r="AA241" s="888"/>
      <c r="AB241" s="888"/>
      <c r="AC241" s="888"/>
      <c r="AD241" s="888"/>
      <c r="AE241" s="888"/>
    </row>
    <row r="242" spans="1:39" s="721" customFormat="1" ht="15" customHeight="1">
      <c r="A242" s="969"/>
      <c r="B242" s="1077"/>
      <c r="C242" s="1079"/>
      <c r="D242" s="1081"/>
      <c r="E242" s="1083"/>
      <c r="F242" s="1088">
        <f>F241*J$13/1000</f>
        <v>4.2533400000000006</v>
      </c>
      <c r="G242" s="1089"/>
      <c r="H242" s="1090"/>
      <c r="I242" s="1088">
        <f>I241*$Q$13/1000</f>
        <v>3.4161786000000003</v>
      </c>
      <c r="J242" s="1089"/>
      <c r="K242" s="1090"/>
      <c r="L242" s="832" t="s">
        <v>371</v>
      </c>
      <c r="M242" s="243" t="s">
        <v>184</v>
      </c>
      <c r="N242" s="244">
        <v>1.24</v>
      </c>
      <c r="O242" s="247">
        <f>E241*N242</f>
        <v>2.48</v>
      </c>
      <c r="P242" s="240">
        <v>4</v>
      </c>
      <c r="Q242" s="245">
        <f>N242*P242*$N$11</f>
        <v>5.7164153760000014</v>
      </c>
      <c r="R242" s="911">
        <f>SUM(Q242:Q242)</f>
        <v>5.7164153760000014</v>
      </c>
      <c r="S242" s="1085"/>
      <c r="T242" s="1085"/>
      <c r="U242" s="1087"/>
      <c r="Y242" s="888"/>
      <c r="Z242" s="888"/>
      <c r="AA242" s="888"/>
      <c r="AB242" s="888"/>
      <c r="AC242" s="888"/>
      <c r="AD242" s="888"/>
      <c r="AE242" s="888"/>
    </row>
    <row r="243" spans="1:39" s="565" customFormat="1" ht="12">
      <c r="A243" s="1075">
        <f t="shared" ref="A243:A245" si="15">+A241+1</f>
        <v>82</v>
      </c>
      <c r="B243" s="1091" t="s">
        <v>350</v>
      </c>
      <c r="C243" s="1057" t="s">
        <v>515</v>
      </c>
      <c r="D243" s="1058" t="s">
        <v>352</v>
      </c>
      <c r="E243" s="1059">
        <v>17.100000000000001</v>
      </c>
      <c r="F243" s="1060">
        <f>14.5/100</f>
        <v>0.14499999999999999</v>
      </c>
      <c r="G243" s="1060"/>
      <c r="H243" s="1060"/>
      <c r="I243" s="1061">
        <f>1.5/100</f>
        <v>1.4999999999999999E-2</v>
      </c>
      <c r="J243" s="1061"/>
      <c r="K243" s="1061"/>
      <c r="L243" s="639"/>
      <c r="M243" s="640"/>
      <c r="N243" s="641"/>
      <c r="O243" s="642"/>
      <c r="P243" s="643"/>
      <c r="Q243" s="644"/>
      <c r="R243" s="761">
        <f>F244+I244</f>
        <v>0.38720714999999994</v>
      </c>
      <c r="S243" s="1059">
        <f>R243+R244</f>
        <v>0.84498138132</v>
      </c>
      <c r="T243" s="1059">
        <f>E243*S243</f>
        <v>14.449181620572002</v>
      </c>
      <c r="U243" s="1092">
        <f>E243*Q244</f>
        <v>7.8279393555720027</v>
      </c>
      <c r="V243" s="1057" t="s">
        <v>351</v>
      </c>
      <c r="W243" s="1058" t="s">
        <v>352</v>
      </c>
      <c r="Y243" s="645">
        <v>1</v>
      </c>
      <c r="Z243" s="645"/>
      <c r="AA243" s="646"/>
      <c r="AB243" s="647"/>
    </row>
    <row r="244" spans="1:39" s="565" customFormat="1" ht="16.5" customHeight="1">
      <c r="A244" s="969"/>
      <c r="B244" s="1091"/>
      <c r="C244" s="1057"/>
      <c r="D244" s="1058"/>
      <c r="E244" s="1059"/>
      <c r="F244" s="1059">
        <f>F243*$J$13/1000</f>
        <v>0.33886499999999997</v>
      </c>
      <c r="G244" s="1059"/>
      <c r="H244" s="1059"/>
      <c r="I244" s="1059">
        <f>I243*$Q$13/1000</f>
        <v>4.8342149999999993E-2</v>
      </c>
      <c r="J244" s="1059"/>
      <c r="K244" s="1059"/>
      <c r="L244" s="246" t="s">
        <v>255</v>
      </c>
      <c r="M244" s="928" t="s">
        <v>124</v>
      </c>
      <c r="N244" s="929">
        <v>2.4</v>
      </c>
      <c r="O244" s="930">
        <f>E243*N244</f>
        <v>41.04</v>
      </c>
      <c r="P244" s="918">
        <v>0.16550000000000001</v>
      </c>
      <c r="Q244" s="931">
        <f>N244*P244*$N$11</f>
        <v>0.45777423132000011</v>
      </c>
      <c r="R244" s="761">
        <f>SUM(Q244:Q244)</f>
        <v>0.45777423132000011</v>
      </c>
      <c r="S244" s="1059"/>
      <c r="T244" s="1059"/>
      <c r="U244" s="1092"/>
      <c r="V244" s="1057"/>
      <c r="W244" s="1058"/>
      <c r="Y244" s="645"/>
      <c r="Z244" s="645"/>
      <c r="AA244" s="645">
        <v>200</v>
      </c>
      <c r="AB244" s="647"/>
    </row>
    <row r="245" spans="1:39" s="565" customFormat="1" ht="12">
      <c r="A245" s="1075">
        <f t="shared" si="15"/>
        <v>83</v>
      </c>
      <c r="B245" s="1091" t="s">
        <v>516</v>
      </c>
      <c r="C245" s="1057" t="s">
        <v>517</v>
      </c>
      <c r="D245" s="1058" t="s">
        <v>352</v>
      </c>
      <c r="E245" s="1059">
        <v>17.100000000000001</v>
      </c>
      <c r="F245" s="1060">
        <v>0.28199999999999997</v>
      </c>
      <c r="G245" s="1060"/>
      <c r="H245" s="1060"/>
      <c r="I245" s="1061">
        <v>3.3000000000000002E-2</v>
      </c>
      <c r="J245" s="1061"/>
      <c r="K245" s="1061"/>
      <c r="L245" s="639"/>
      <c r="M245" s="640"/>
      <c r="N245" s="641"/>
      <c r="O245" s="642"/>
      <c r="P245" s="643"/>
      <c r="Q245" s="644"/>
      <c r="R245" s="761">
        <f>F246+I246</f>
        <v>0.76538673000000002</v>
      </c>
      <c r="S245" s="1059">
        <f>R245+R246</f>
        <v>3.7474885012500008</v>
      </c>
      <c r="T245" s="1059">
        <f>E245*S245</f>
        <v>64.082053371375025</v>
      </c>
      <c r="U245" s="1092">
        <f>E245*Q246</f>
        <v>50.993940288375022</v>
      </c>
      <c r="V245" s="1057" t="s">
        <v>351</v>
      </c>
      <c r="W245" s="1058" t="s">
        <v>352</v>
      </c>
      <c r="Y245" s="645">
        <v>1</v>
      </c>
      <c r="Z245" s="645"/>
      <c r="AA245" s="646"/>
      <c r="AB245" s="647"/>
    </row>
    <row r="246" spans="1:39" s="565" customFormat="1" ht="16.5" customHeight="1">
      <c r="A246" s="969"/>
      <c r="B246" s="1091"/>
      <c r="C246" s="1057"/>
      <c r="D246" s="1058"/>
      <c r="E246" s="1059"/>
      <c r="F246" s="1059">
        <f>F245*$J$13/1000</f>
        <v>0.65903400000000001</v>
      </c>
      <c r="G246" s="1059"/>
      <c r="H246" s="1059"/>
      <c r="I246" s="1059">
        <f>I245*$Q$13/1000</f>
        <v>0.10635273000000001</v>
      </c>
      <c r="J246" s="1059"/>
      <c r="K246" s="1059"/>
      <c r="L246" s="246" t="s">
        <v>368</v>
      </c>
      <c r="M246" s="928" t="s">
        <v>186</v>
      </c>
      <c r="N246" s="929">
        <v>2.2999999999999998</v>
      </c>
      <c r="O246" s="930">
        <f>E245*N246</f>
        <v>39.33</v>
      </c>
      <c r="P246" s="918">
        <v>1.125</v>
      </c>
      <c r="Q246" s="931">
        <f>N246*P246*$N$11</f>
        <v>2.9821017712500009</v>
      </c>
      <c r="R246" s="761">
        <f>SUM(Q246:Q246)</f>
        <v>2.9821017712500009</v>
      </c>
      <c r="S246" s="1059"/>
      <c r="T246" s="1059"/>
      <c r="U246" s="1092"/>
      <c r="V246" s="1057"/>
      <c r="W246" s="1058"/>
      <c r="Y246" s="645"/>
      <c r="Z246" s="645"/>
      <c r="AA246" s="645">
        <v>200</v>
      </c>
      <c r="AB246" s="647"/>
    </row>
    <row r="247" spans="1:39" s="810" customFormat="1" ht="12">
      <c r="A247" s="1062">
        <f>+A245+1</f>
        <v>84</v>
      </c>
      <c r="B247" s="1064" t="s">
        <v>413</v>
      </c>
      <c r="C247" s="1066" t="s">
        <v>415</v>
      </c>
      <c r="D247" s="1068" t="s">
        <v>124</v>
      </c>
      <c r="E247" s="1069">
        <v>47</v>
      </c>
      <c r="F247" s="1347">
        <f>35.9/1000</f>
        <v>3.5900000000000001E-2</v>
      </c>
      <c r="G247" s="1347"/>
      <c r="H247" s="1347"/>
      <c r="I247" s="1348">
        <f>0.2/1000</f>
        <v>2.0000000000000001E-4</v>
      </c>
      <c r="J247" s="1348"/>
      <c r="K247" s="1348"/>
      <c r="L247" s="673"/>
      <c r="M247" s="674"/>
      <c r="N247" s="675"/>
      <c r="O247" s="676"/>
      <c r="P247" s="676"/>
      <c r="Q247" s="677"/>
      <c r="R247" s="867">
        <f>F248+I248</f>
        <v>8.454286200000001E-2</v>
      </c>
      <c r="S247" s="1071">
        <f>R247+R248</f>
        <v>0.60590068934700025</v>
      </c>
      <c r="T247" s="1071">
        <f>E247*S247</f>
        <v>28.477332399309013</v>
      </c>
      <c r="U247" s="1071">
        <f>R248*E247</f>
        <v>24.503817885309008</v>
      </c>
      <c r="V247" s="1066" t="s">
        <v>415</v>
      </c>
      <c r="W247" s="1068" t="s">
        <v>124</v>
      </c>
      <c r="X247" s="869"/>
      <c r="Y247" s="869"/>
      <c r="Z247" s="869"/>
      <c r="AA247" s="869"/>
      <c r="AB247" s="869"/>
      <c r="AC247" s="869"/>
      <c r="AD247" s="869"/>
      <c r="AE247" s="869"/>
    </row>
    <row r="248" spans="1:39" s="810" customFormat="1" ht="22.5">
      <c r="A248" s="1063"/>
      <c r="B248" s="1065"/>
      <c r="C248" s="1067"/>
      <c r="D248" s="1063"/>
      <c r="E248" s="1070"/>
      <c r="F248" s="1072">
        <f>F247*J$13/1000</f>
        <v>8.3898300000000009E-2</v>
      </c>
      <c r="G248" s="1072"/>
      <c r="H248" s="1072"/>
      <c r="I248" s="1073">
        <f>I247*$Q$13/1000</f>
        <v>6.44562E-4</v>
      </c>
      <c r="J248" s="1073"/>
      <c r="K248" s="1073"/>
      <c r="L248" s="342" t="s">
        <v>347</v>
      </c>
      <c r="M248" s="812" t="s">
        <v>124</v>
      </c>
      <c r="N248" s="813">
        <v>1.0049999999999999</v>
      </c>
      <c r="O248" s="814">
        <f>E247*N248</f>
        <v>47.234999999999992</v>
      </c>
      <c r="P248" s="814">
        <v>0.45</v>
      </c>
      <c r="Q248" s="820">
        <f>N248*P248*$N$11</f>
        <v>0.52121952697500018</v>
      </c>
      <c r="R248" s="1074">
        <f>SUM(Q248:Q249)</f>
        <v>0.5213578273470002</v>
      </c>
      <c r="S248" s="1071"/>
      <c r="T248" s="1071"/>
      <c r="U248" s="1071"/>
      <c r="V248" s="1067"/>
      <c r="W248" s="1063"/>
      <c r="X248" s="869"/>
      <c r="Y248" s="869"/>
      <c r="Z248" s="869"/>
      <c r="AA248" s="869"/>
      <c r="AB248" s="869"/>
      <c r="AC248" s="869"/>
      <c r="AD248" s="869"/>
      <c r="AE248" s="869"/>
    </row>
    <row r="249" spans="1:39" s="810" customFormat="1" ht="12">
      <c r="A249" s="1063"/>
      <c r="B249" s="1065"/>
      <c r="C249" s="1067"/>
      <c r="D249" s="1063"/>
      <c r="E249" s="1070"/>
      <c r="F249" s="1072"/>
      <c r="G249" s="1072"/>
      <c r="H249" s="1072"/>
      <c r="I249" s="1073"/>
      <c r="J249" s="1073"/>
      <c r="K249" s="1073"/>
      <c r="L249" s="815" t="s">
        <v>190</v>
      </c>
      <c r="M249" s="816" t="s">
        <v>124</v>
      </c>
      <c r="N249" s="817">
        <f>0.12/1000</f>
        <v>1.1999999999999999E-4</v>
      </c>
      <c r="O249" s="818">
        <f>E247*N249</f>
        <v>5.6399999999999992E-3</v>
      </c>
      <c r="P249" s="819">
        <v>1</v>
      </c>
      <c r="Q249" s="821">
        <f>N249*P249*$N$11</f>
        <v>1.3830037200000003E-4</v>
      </c>
      <c r="R249" s="1074"/>
      <c r="S249" s="1071"/>
      <c r="T249" s="1071"/>
      <c r="U249" s="1071"/>
      <c r="V249" s="1067"/>
      <c r="W249" s="1063"/>
      <c r="X249" s="869"/>
      <c r="Y249" s="869"/>
      <c r="Z249" s="869"/>
      <c r="AA249" s="869"/>
      <c r="AB249" s="869"/>
      <c r="AC249" s="869"/>
      <c r="AD249" s="869"/>
      <c r="AE249" s="869"/>
    </row>
    <row r="250" spans="1:39" s="745" customFormat="1" ht="12.75" customHeight="1">
      <c r="A250" s="1433">
        <f>+A247+1</f>
        <v>85</v>
      </c>
      <c r="B250" s="1001" t="s">
        <v>191</v>
      </c>
      <c r="C250" s="965" t="s">
        <v>493</v>
      </c>
      <c r="D250" s="966" t="s">
        <v>164</v>
      </c>
      <c r="E250" s="1172">
        <v>4</v>
      </c>
      <c r="F250" s="967"/>
      <c r="G250" s="967"/>
      <c r="H250" s="967"/>
      <c r="I250" s="1004"/>
      <c r="J250" s="1004"/>
      <c r="K250" s="1004"/>
      <c r="L250" s="417"/>
      <c r="M250" s="638"/>
      <c r="N250" s="756"/>
      <c r="O250" s="756"/>
      <c r="P250" s="756"/>
      <c r="Q250" s="775"/>
      <c r="R250" s="766">
        <f>F251+I251</f>
        <v>0</v>
      </c>
      <c r="S250" s="1129">
        <f>R250+R251</f>
        <v>0.92200248000000029</v>
      </c>
      <c r="T250" s="1129">
        <f>E250*S250</f>
        <v>3.6880099200000012</v>
      </c>
      <c r="U250" s="1131">
        <f>R251*E250</f>
        <v>3.6880099200000012</v>
      </c>
      <c r="V250" s="1116" t="s">
        <v>494</v>
      </c>
      <c r="W250" s="1117" t="s">
        <v>197</v>
      </c>
      <c r="X250" s="694"/>
      <c r="Y250" s="694"/>
      <c r="Z250" s="694"/>
      <c r="AA250" s="694"/>
      <c r="AB250" s="694"/>
      <c r="AC250" s="694"/>
      <c r="AD250" s="694"/>
      <c r="AE250" s="694"/>
    </row>
    <row r="251" spans="1:39" s="745" customFormat="1" ht="12.75" customHeight="1">
      <c r="A251" s="1000"/>
      <c r="B251" s="1002"/>
      <c r="C251" s="965"/>
      <c r="D251" s="966"/>
      <c r="E251" s="1172"/>
      <c r="F251" s="967"/>
      <c r="G251" s="967"/>
      <c r="H251" s="967"/>
      <c r="I251" s="967"/>
      <c r="J251" s="967"/>
      <c r="K251" s="967"/>
      <c r="L251" s="337" t="s">
        <v>377</v>
      </c>
      <c r="M251" s="243" t="s">
        <v>164</v>
      </c>
      <c r="N251" s="244">
        <v>1</v>
      </c>
      <c r="O251" s="247">
        <f>E250*N251</f>
        <v>4</v>
      </c>
      <c r="P251" s="558">
        <v>0.8</v>
      </c>
      <c r="Q251" s="258">
        <f>N251*P251*$N$11</f>
        <v>0.92200248000000029</v>
      </c>
      <c r="R251" s="767">
        <f>SUM(Q251:Q251)</f>
        <v>0.92200248000000029</v>
      </c>
      <c r="S251" s="1130"/>
      <c r="T251" s="1130"/>
      <c r="U251" s="1132"/>
      <c r="V251" s="1116"/>
      <c r="W251" s="1117"/>
      <c r="X251" s="694"/>
      <c r="Y251" s="694"/>
      <c r="Z251" s="694"/>
      <c r="AA251" s="694"/>
      <c r="AB251" s="694"/>
      <c r="AC251" s="694"/>
      <c r="AD251" s="694"/>
      <c r="AE251" s="694"/>
    </row>
    <row r="252" spans="1:39" s="745" customFormat="1" ht="12.75" customHeight="1">
      <c r="A252" s="1000">
        <f>+A250+1</f>
        <v>86</v>
      </c>
      <c r="B252" s="1001" t="s">
        <v>191</v>
      </c>
      <c r="C252" s="965" t="s">
        <v>380</v>
      </c>
      <c r="D252" s="966" t="s">
        <v>164</v>
      </c>
      <c r="E252" s="1172">
        <v>2</v>
      </c>
      <c r="F252" s="967"/>
      <c r="G252" s="967"/>
      <c r="H252" s="967"/>
      <c r="I252" s="1004"/>
      <c r="J252" s="1004"/>
      <c r="K252" s="1004"/>
      <c r="L252" s="417"/>
      <c r="M252" s="638"/>
      <c r="N252" s="756"/>
      <c r="O252" s="756"/>
      <c r="P252" s="756"/>
      <c r="Q252" s="775"/>
      <c r="R252" s="767">
        <f>F253+I253</f>
        <v>0</v>
      </c>
      <c r="S252" s="1129">
        <f>R252+R253</f>
        <v>1.1525031000000003</v>
      </c>
      <c r="T252" s="1129">
        <f>E252*S252</f>
        <v>2.3050062000000007</v>
      </c>
      <c r="U252" s="1131">
        <f>R253*E252</f>
        <v>2.3050062000000007</v>
      </c>
      <c r="V252" s="1116" t="s">
        <v>495</v>
      </c>
      <c r="W252" s="1117" t="s">
        <v>197</v>
      </c>
      <c r="X252" s="694"/>
      <c r="Y252" s="694"/>
      <c r="Z252" s="694"/>
      <c r="AA252" s="694"/>
      <c r="AB252" s="694"/>
      <c r="AC252" s="694"/>
      <c r="AD252" s="694"/>
      <c r="AE252" s="694"/>
    </row>
    <row r="253" spans="1:39" s="745" customFormat="1" ht="12.75" customHeight="1">
      <c r="A253" s="1000"/>
      <c r="B253" s="1002"/>
      <c r="C253" s="965"/>
      <c r="D253" s="966"/>
      <c r="E253" s="1172"/>
      <c r="F253" s="967"/>
      <c r="G253" s="967"/>
      <c r="H253" s="967"/>
      <c r="I253" s="967"/>
      <c r="J253" s="967"/>
      <c r="K253" s="967"/>
      <c r="L253" s="337" t="s">
        <v>381</v>
      </c>
      <c r="M253" s="243" t="s">
        <v>164</v>
      </c>
      <c r="N253" s="244">
        <v>1</v>
      </c>
      <c r="O253" s="247">
        <f>E252*N253</f>
        <v>2</v>
      </c>
      <c r="P253" s="558">
        <v>1</v>
      </c>
      <c r="Q253" s="258">
        <f>N253*P253*$N$11</f>
        <v>1.1525031000000003</v>
      </c>
      <c r="R253" s="767">
        <f>SUM(Q253:Q253)</f>
        <v>1.1525031000000003</v>
      </c>
      <c r="S253" s="1130"/>
      <c r="T253" s="1130"/>
      <c r="U253" s="1132"/>
      <c r="V253" s="1116"/>
      <c r="W253" s="1117"/>
      <c r="X253" s="694"/>
      <c r="Y253" s="694"/>
      <c r="Z253" s="694"/>
      <c r="AA253" s="694"/>
      <c r="AB253" s="694"/>
      <c r="AC253" s="694"/>
      <c r="AD253" s="694"/>
      <c r="AE253" s="694"/>
    </row>
    <row r="254" spans="1:39" s="156" customFormat="1" ht="12.75" customHeight="1">
      <c r="A254" s="1005">
        <f>+A252+1</f>
        <v>87</v>
      </c>
      <c r="B254" s="1001" t="s">
        <v>191</v>
      </c>
      <c r="C254" s="1011" t="s">
        <v>518</v>
      </c>
      <c r="D254" s="1014" t="s">
        <v>123</v>
      </c>
      <c r="E254" s="1110">
        <v>8.4</v>
      </c>
      <c r="F254" s="990"/>
      <c r="G254" s="991"/>
      <c r="H254" s="992"/>
      <c r="I254" s="993"/>
      <c r="J254" s="994"/>
      <c r="K254" s="995"/>
      <c r="L254" s="417"/>
      <c r="M254" s="638"/>
      <c r="N254" s="756"/>
      <c r="O254" s="756"/>
      <c r="P254" s="756"/>
      <c r="Q254" s="775"/>
      <c r="R254" s="887">
        <f>F255+I255</f>
        <v>0</v>
      </c>
      <c r="S254" s="987">
        <f>R254+R255</f>
        <v>1.5455066571000005</v>
      </c>
      <c r="T254" s="987">
        <f>E254*S254</f>
        <v>12.982255919640004</v>
      </c>
      <c r="U254" s="1112">
        <f>E254*Q255</f>
        <v>12.982255919640004</v>
      </c>
      <c r="V254" s="1114" t="s">
        <v>519</v>
      </c>
      <c r="W254" s="1014" t="s">
        <v>194</v>
      </c>
    </row>
    <row r="255" spans="1:39" s="156" customFormat="1" ht="12.75" customHeight="1">
      <c r="A255" s="1007"/>
      <c r="B255" s="1002"/>
      <c r="C255" s="1013"/>
      <c r="D255" s="1016"/>
      <c r="E255" s="1111"/>
      <c r="F255" s="1430"/>
      <c r="G255" s="1431"/>
      <c r="H255" s="1432"/>
      <c r="I255" s="993"/>
      <c r="J255" s="994"/>
      <c r="K255" s="995"/>
      <c r="L255" s="337" t="s">
        <v>520</v>
      </c>
      <c r="M255" s="243" t="s">
        <v>521</v>
      </c>
      <c r="N255" s="244">
        <v>1</v>
      </c>
      <c r="O255" s="247">
        <f>E254*N255</f>
        <v>8.4</v>
      </c>
      <c r="P255" s="558">
        <v>1.341</v>
      </c>
      <c r="Q255" s="258">
        <f>N255*P255*$N$11</f>
        <v>1.5455066571000005</v>
      </c>
      <c r="R255" s="755">
        <f>SUM(Q255:Q255)</f>
        <v>1.5455066571000005</v>
      </c>
      <c r="S255" s="989"/>
      <c r="T255" s="989"/>
      <c r="U255" s="1113"/>
      <c r="V255" s="1115"/>
      <c r="W255" s="1016"/>
    </row>
    <row r="256" spans="1:39" s="854" customFormat="1">
      <c r="A256" s="1005">
        <f>+A254+1</f>
        <v>88</v>
      </c>
      <c r="B256" s="1008" t="s">
        <v>454</v>
      </c>
      <c r="C256" s="1053" t="s">
        <v>525</v>
      </c>
      <c r="D256" s="1014" t="s">
        <v>116</v>
      </c>
      <c r="E256" s="1055">
        <v>8</v>
      </c>
      <c r="F256" s="993">
        <v>0.21</v>
      </c>
      <c r="G256" s="994"/>
      <c r="H256" s="995"/>
      <c r="I256" s="993">
        <v>0.03</v>
      </c>
      <c r="J256" s="994"/>
      <c r="K256" s="995"/>
      <c r="L256" s="267"/>
      <c r="M256" s="638"/>
      <c r="N256" s="756"/>
      <c r="O256" s="756"/>
      <c r="P256" s="268"/>
      <c r="Q256" s="775"/>
      <c r="R256" s="755">
        <f>F257+I257</f>
        <v>0.58745429999999998</v>
      </c>
      <c r="S256" s="987">
        <f>R256+R257</f>
        <v>4.2950567727000006</v>
      </c>
      <c r="T256" s="987">
        <f>E256*S256</f>
        <v>34.360454181600005</v>
      </c>
      <c r="U256" s="1017">
        <f>E256*R257</f>
        <v>29.660819781600008</v>
      </c>
      <c r="V256" s="156"/>
      <c r="W256" s="156"/>
      <c r="X256" s="239"/>
      <c r="Y256" s="239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744"/>
    </row>
    <row r="257" spans="1:256" s="854" customFormat="1" ht="28.5" customHeight="1">
      <c r="A257" s="1007"/>
      <c r="B257" s="1010"/>
      <c r="C257" s="1054"/>
      <c r="D257" s="1016"/>
      <c r="E257" s="1056"/>
      <c r="F257" s="993">
        <f>F256*$J$13/1000</f>
        <v>0.49076999999999998</v>
      </c>
      <c r="G257" s="994"/>
      <c r="H257" s="995"/>
      <c r="I257" s="993">
        <f>I256*$Q$13/1000</f>
        <v>9.6684299999999987E-2</v>
      </c>
      <c r="J257" s="994"/>
      <c r="K257" s="995"/>
      <c r="L257" s="248" t="s">
        <v>423</v>
      </c>
      <c r="M257" s="243" t="s">
        <v>116</v>
      </c>
      <c r="N257" s="244">
        <v>1</v>
      </c>
      <c r="O257" s="247">
        <f>E256*N257</f>
        <v>8</v>
      </c>
      <c r="P257" s="240">
        <v>3.2170000000000001</v>
      </c>
      <c r="Q257" s="245">
        <f>N257*P257*$N$11</f>
        <v>3.707602472700001</v>
      </c>
      <c r="R257" s="753">
        <f>SUM(Q257:Q257)</f>
        <v>3.707602472700001</v>
      </c>
      <c r="S257" s="989"/>
      <c r="T257" s="989"/>
      <c r="U257" s="1019"/>
      <c r="V257" s="155"/>
      <c r="W257" s="208"/>
      <c r="X257" s="239"/>
      <c r="Y257" s="239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744"/>
    </row>
    <row r="258" spans="1:256" s="804" customFormat="1" ht="12.75" customHeight="1">
      <c r="A258" s="1133">
        <f>+A256+1</f>
        <v>89</v>
      </c>
      <c r="B258" s="1135" t="s">
        <v>362</v>
      </c>
      <c r="C258" s="1137" t="s">
        <v>363</v>
      </c>
      <c r="D258" s="1140" t="s">
        <v>122</v>
      </c>
      <c r="E258" s="1142">
        <v>2.5</v>
      </c>
      <c r="F258" s="1148">
        <v>0.38400000000000001</v>
      </c>
      <c r="G258" s="1148"/>
      <c r="H258" s="1148"/>
      <c r="I258" s="1214">
        <f>0.03/100</f>
        <v>2.9999999999999997E-4</v>
      </c>
      <c r="J258" s="1215"/>
      <c r="K258" s="1216"/>
      <c r="L258" s="417"/>
      <c r="M258" s="638"/>
      <c r="N258" s="705"/>
      <c r="O258" s="705"/>
      <c r="P258" s="756"/>
      <c r="Q258" s="706"/>
      <c r="R258" s="758">
        <f>F259+I259</f>
        <v>0.89837484300000003</v>
      </c>
      <c r="S258" s="1020">
        <f>R258+R259</f>
        <v>1.2786904934721002</v>
      </c>
      <c r="T258" s="1020">
        <f>E258*S258</f>
        <v>3.1967262336802502</v>
      </c>
      <c r="U258" s="1144">
        <f>R259*E258</f>
        <v>0.95078912618025035</v>
      </c>
      <c r="V258" s="1066" t="s">
        <v>497</v>
      </c>
      <c r="W258" s="1146" t="s">
        <v>496</v>
      </c>
      <c r="X258" s="667"/>
      <c r="Y258" s="721"/>
      <c r="Z258" s="721"/>
      <c r="AA258" s="721"/>
      <c r="AB258" s="721"/>
      <c r="AC258" s="721"/>
      <c r="AD258" s="721"/>
      <c r="AE258" s="721"/>
    </row>
    <row r="259" spans="1:256" s="804" customFormat="1" ht="12.75" customHeight="1">
      <c r="A259" s="1134"/>
      <c r="B259" s="1136"/>
      <c r="C259" s="1138"/>
      <c r="D259" s="1141"/>
      <c r="E259" s="1143"/>
      <c r="F259" s="1148">
        <f>F258*J$13/1000</f>
        <v>0.89740799999999998</v>
      </c>
      <c r="G259" s="1148"/>
      <c r="H259" s="1148"/>
      <c r="I259" s="1148">
        <f>I258*$Q$13/1000</f>
        <v>9.6684299999999989E-4</v>
      </c>
      <c r="J259" s="1148"/>
      <c r="K259" s="1148"/>
      <c r="L259" s="806" t="s">
        <v>130</v>
      </c>
      <c r="M259" s="250" t="s">
        <v>124</v>
      </c>
      <c r="N259" s="712">
        <v>0.246</v>
      </c>
      <c r="O259" s="713">
        <f>E258*N259</f>
        <v>0.61499999999999999</v>
      </c>
      <c r="P259" s="341">
        <v>1.25</v>
      </c>
      <c r="Q259" s="714">
        <f>N259*P259*$N$11</f>
        <v>0.35439470325000011</v>
      </c>
      <c r="R259" s="1020">
        <f>SUM(Q259:Q260)</f>
        <v>0.38031565047210014</v>
      </c>
      <c r="S259" s="1020"/>
      <c r="T259" s="1020"/>
      <c r="U259" s="1144"/>
      <c r="V259" s="1067"/>
      <c r="W259" s="1147"/>
      <c r="X259" s="667"/>
      <c r="Y259" s="721"/>
      <c r="Z259" s="721"/>
      <c r="AA259" s="721"/>
      <c r="AB259" s="721"/>
      <c r="AC259" s="721"/>
      <c r="AD259" s="721"/>
      <c r="AE259" s="721"/>
    </row>
    <row r="260" spans="1:256" s="804" customFormat="1" ht="12.75" customHeight="1">
      <c r="A260" s="1134"/>
      <c r="B260" s="1136"/>
      <c r="C260" s="1139"/>
      <c r="D260" s="1141"/>
      <c r="E260" s="1143"/>
      <c r="F260" s="1148"/>
      <c r="G260" s="1148"/>
      <c r="H260" s="1148"/>
      <c r="I260" s="1148"/>
      <c r="J260" s="1148"/>
      <c r="K260" s="1148"/>
      <c r="L260" s="807" t="s">
        <v>365</v>
      </c>
      <c r="M260" s="254" t="s">
        <v>124</v>
      </c>
      <c r="N260" s="715">
        <v>2.7E-2</v>
      </c>
      <c r="O260" s="716">
        <f>E258*N260</f>
        <v>6.7500000000000004E-2</v>
      </c>
      <c r="P260" s="355">
        <v>0.83299999999999996</v>
      </c>
      <c r="Q260" s="717">
        <f>N260*P260*$N$11</f>
        <v>2.5920947222100005E-2</v>
      </c>
      <c r="R260" s="1020"/>
      <c r="S260" s="1020"/>
      <c r="T260" s="1020"/>
      <c r="U260" s="1144"/>
      <c r="V260" s="1145"/>
      <c r="W260" s="1147"/>
      <c r="X260" s="667"/>
      <c r="Y260" s="721"/>
      <c r="Z260" s="721"/>
      <c r="AA260" s="721"/>
      <c r="AB260" s="721"/>
      <c r="AC260" s="721"/>
      <c r="AD260" s="721"/>
      <c r="AE260" s="721"/>
    </row>
    <row r="261" spans="1:256" s="855" customFormat="1" ht="16.5" customHeight="1">
      <c r="A261" s="1162">
        <f>+A258+1</f>
        <v>90</v>
      </c>
      <c r="B261" s="1168" t="s">
        <v>279</v>
      </c>
      <c r="C261" s="1122" t="s">
        <v>456</v>
      </c>
      <c r="D261" s="1124" t="s">
        <v>164</v>
      </c>
      <c r="E261" s="1170">
        <v>4</v>
      </c>
      <c r="F261" s="1126">
        <v>0.31</v>
      </c>
      <c r="G261" s="1127"/>
      <c r="H261" s="1128"/>
      <c r="I261" s="1126">
        <v>0.31</v>
      </c>
      <c r="J261" s="1127"/>
      <c r="K261" s="1128"/>
      <c r="L261" s="526"/>
      <c r="M261" s="527"/>
      <c r="N261" s="528"/>
      <c r="O261" s="528"/>
      <c r="P261" s="529"/>
      <c r="Q261" s="530"/>
      <c r="R261" s="531">
        <f>F262+I262</f>
        <v>1.7235411</v>
      </c>
      <c r="S261" s="1118">
        <f>R261+R262</f>
        <v>10.367314350000003</v>
      </c>
      <c r="T261" s="1118">
        <f>E261*S261</f>
        <v>41.469257400000011</v>
      </c>
      <c r="U261" s="1120">
        <f>+R262*E261</f>
        <v>34.57509300000001</v>
      </c>
      <c r="V261" s="1122" t="s">
        <v>457</v>
      </c>
      <c r="W261" s="1124" t="s">
        <v>197</v>
      </c>
      <c r="X261" s="532"/>
      <c r="Y261" s="532"/>
      <c r="Z261" s="532"/>
      <c r="AA261" s="532"/>
      <c r="AB261" s="532"/>
      <c r="AC261" s="532"/>
      <c r="AD261" s="532"/>
      <c r="AE261" s="532"/>
    </row>
    <row r="262" spans="1:256" s="855" customFormat="1" ht="16.5" customHeight="1">
      <c r="A262" s="1163"/>
      <c r="B262" s="1169"/>
      <c r="C262" s="1123"/>
      <c r="D262" s="1125"/>
      <c r="E262" s="1171"/>
      <c r="F262" s="1126">
        <f>F261*$J$13/1000</f>
        <v>0.72447000000000006</v>
      </c>
      <c r="G262" s="1127"/>
      <c r="H262" s="1128"/>
      <c r="I262" s="1126">
        <f>I261*$Q$13/1000</f>
        <v>0.99907109999999999</v>
      </c>
      <c r="J262" s="1127"/>
      <c r="K262" s="1128"/>
      <c r="L262" s="533" t="s">
        <v>273</v>
      </c>
      <c r="M262" s="534" t="s">
        <v>164</v>
      </c>
      <c r="N262" s="535">
        <v>1</v>
      </c>
      <c r="O262" s="536">
        <f>E261*N262</f>
        <v>4</v>
      </c>
      <c r="P262" s="935">
        <f>9/1.2</f>
        <v>7.5</v>
      </c>
      <c r="Q262" s="537">
        <f>N262*P262*$N$11</f>
        <v>8.6437732500000024</v>
      </c>
      <c r="R262" s="538">
        <f>+Q262</f>
        <v>8.6437732500000024</v>
      </c>
      <c r="S262" s="1119"/>
      <c r="T262" s="1119"/>
      <c r="U262" s="1121"/>
      <c r="V262" s="1123"/>
      <c r="W262" s="1125"/>
      <c r="X262" s="532"/>
      <c r="Y262" s="532"/>
      <c r="Z262" s="532"/>
      <c r="AA262" s="532"/>
      <c r="AB262" s="532"/>
      <c r="AC262" s="532"/>
      <c r="AD262" s="532"/>
      <c r="AE262" s="532"/>
    </row>
    <row r="263" spans="1:256" s="335" customFormat="1" ht="16.5" customHeight="1">
      <c r="A263" s="1162">
        <f t="shared" ref="A263" si="16">+A261+1</f>
        <v>91</v>
      </c>
      <c r="B263" s="1008" t="s">
        <v>280</v>
      </c>
      <c r="C263" s="1053" t="s">
        <v>526</v>
      </c>
      <c r="D263" s="1014" t="s">
        <v>164</v>
      </c>
      <c r="E263" s="1055">
        <v>2</v>
      </c>
      <c r="F263" s="1164">
        <v>1.31</v>
      </c>
      <c r="G263" s="1165"/>
      <c r="H263" s="1166"/>
      <c r="I263" s="1164">
        <v>0.09</v>
      </c>
      <c r="J263" s="1165"/>
      <c r="K263" s="1166"/>
      <c r="L263" s="336"/>
      <c r="M263" s="638"/>
      <c r="N263" s="539"/>
      <c r="O263" s="539"/>
      <c r="P263" s="936"/>
      <c r="Q263" s="749"/>
      <c r="R263" s="755">
        <f>F264+I264</f>
        <v>3.3515229000000004</v>
      </c>
      <c r="S263" s="987">
        <f>R263+R264</f>
        <v>46.570389150000011</v>
      </c>
      <c r="T263" s="987">
        <f>E263*S263</f>
        <v>93.140778300000022</v>
      </c>
      <c r="U263" s="1166">
        <f>R264*E263</f>
        <v>86.437732500000024</v>
      </c>
      <c r="V263" s="1053" t="s">
        <v>458</v>
      </c>
      <c r="W263" s="1014" t="s">
        <v>197</v>
      </c>
      <c r="X263" s="209"/>
      <c r="Y263" s="209"/>
      <c r="Z263" s="209"/>
      <c r="AA263" s="209"/>
      <c r="AB263" s="209"/>
      <c r="AC263" s="209"/>
      <c r="AD263" s="209"/>
      <c r="AE263" s="209"/>
    </row>
    <row r="264" spans="1:256" s="335" customFormat="1" ht="16.5" customHeight="1">
      <c r="A264" s="1163"/>
      <c r="B264" s="1010"/>
      <c r="C264" s="1054"/>
      <c r="D264" s="1016"/>
      <c r="E264" s="1056"/>
      <c r="F264" s="993">
        <f>F263*$J$13/1000</f>
        <v>3.0614700000000004</v>
      </c>
      <c r="G264" s="994"/>
      <c r="H264" s="995"/>
      <c r="I264" s="993">
        <f>I263*$Q$13/1000</f>
        <v>0.29005289999999995</v>
      </c>
      <c r="J264" s="994"/>
      <c r="K264" s="995"/>
      <c r="L264" s="540" t="s">
        <v>281</v>
      </c>
      <c r="M264" s="243" t="s">
        <v>164</v>
      </c>
      <c r="N264" s="541">
        <v>1</v>
      </c>
      <c r="O264" s="542">
        <f>E263*N264</f>
        <v>2</v>
      </c>
      <c r="P264" s="338">
        <f>45/1.2</f>
        <v>37.5</v>
      </c>
      <c r="Q264" s="245">
        <f>N264*P264*$N$11</f>
        <v>43.218866250000012</v>
      </c>
      <c r="R264" s="755">
        <f>SUM(Q264:Q264)</f>
        <v>43.218866250000012</v>
      </c>
      <c r="S264" s="989"/>
      <c r="T264" s="989"/>
      <c r="U264" s="1167"/>
      <c r="V264" s="1054"/>
      <c r="W264" s="1016"/>
      <c r="X264" s="209"/>
      <c r="Y264" s="209"/>
      <c r="Z264" s="209"/>
      <c r="AA264" s="209"/>
      <c r="AB264" s="209"/>
      <c r="AC264" s="209"/>
      <c r="AD264" s="209"/>
      <c r="AE264" s="209"/>
    </row>
    <row r="265" spans="1:256" s="912" customFormat="1" ht="15" customHeight="1">
      <c r="A265" s="1036">
        <f>+A263+1</f>
        <v>92</v>
      </c>
      <c r="B265" s="1038" t="s">
        <v>527</v>
      </c>
      <c r="C265" s="1033" t="s">
        <v>530</v>
      </c>
      <c r="D265" s="1034" t="s">
        <v>529</v>
      </c>
      <c r="E265" s="1040">
        <v>2</v>
      </c>
      <c r="F265" s="1035">
        <v>1.1000000000000001</v>
      </c>
      <c r="G265" s="1035"/>
      <c r="H265" s="1035"/>
      <c r="I265" s="1041"/>
      <c r="J265" s="1041"/>
      <c r="K265" s="1041"/>
      <c r="L265" s="639"/>
      <c r="M265" s="640"/>
      <c r="N265" s="641"/>
      <c r="O265" s="642"/>
      <c r="P265" s="643"/>
      <c r="Q265" s="644"/>
      <c r="R265" s="937">
        <f>F266+I266</f>
        <v>2.5707000000000004</v>
      </c>
      <c r="S265" s="1042">
        <f>R265+R266</f>
        <v>5.1062068200000015</v>
      </c>
      <c r="T265" s="1042">
        <f>E265*S265</f>
        <v>10.212413640000003</v>
      </c>
      <c r="U265" s="1043">
        <f>R266*E265</f>
        <v>5.0710136400000021</v>
      </c>
      <c r="V265" s="1033" t="s">
        <v>528</v>
      </c>
      <c r="W265" s="1034" t="s">
        <v>529</v>
      </c>
      <c r="X265" s="721"/>
      <c r="Y265" s="721"/>
      <c r="Z265" s="721"/>
      <c r="AA265" s="721"/>
      <c r="AB265" s="721"/>
      <c r="AC265" s="721"/>
      <c r="AD265" s="721"/>
      <c r="AE265" s="721"/>
    </row>
    <row r="266" spans="1:256" s="912" customFormat="1" ht="15" customHeight="1">
      <c r="A266" s="1037"/>
      <c r="B266" s="1039"/>
      <c r="C266" s="1033"/>
      <c r="D266" s="1034"/>
      <c r="E266" s="1040"/>
      <c r="F266" s="1035">
        <f>F265*J$13/1000</f>
        <v>2.5707000000000004</v>
      </c>
      <c r="G266" s="1035"/>
      <c r="H266" s="1035"/>
      <c r="I266" s="1035">
        <f>I265*$Q$13/1000</f>
        <v>0</v>
      </c>
      <c r="J266" s="1035"/>
      <c r="K266" s="1035"/>
      <c r="L266" s="246" t="s">
        <v>231</v>
      </c>
      <c r="M266" s="928" t="s">
        <v>529</v>
      </c>
      <c r="N266" s="929">
        <v>1.1000000000000001</v>
      </c>
      <c r="O266" s="930">
        <f>E265*N266</f>
        <v>2.2000000000000002</v>
      </c>
      <c r="P266" s="918">
        <v>2</v>
      </c>
      <c r="Q266" s="931">
        <f>N266*P266*$N$11</f>
        <v>2.535506820000001</v>
      </c>
      <c r="R266" s="937">
        <f>SUM(Q266:Q266)</f>
        <v>2.535506820000001</v>
      </c>
      <c r="S266" s="1042"/>
      <c r="T266" s="1042"/>
      <c r="U266" s="1043"/>
      <c r="V266" s="1033"/>
      <c r="W266" s="1034"/>
      <c r="X266" s="721"/>
      <c r="Y266" s="721"/>
      <c r="Z266" s="721"/>
      <c r="AA266" s="721"/>
      <c r="AB266" s="721"/>
      <c r="AC266" s="721"/>
      <c r="AD266" s="721"/>
      <c r="AE266" s="721"/>
    </row>
    <row r="267" spans="1:256" s="912" customFormat="1" ht="15" customHeight="1">
      <c r="A267" s="1036">
        <f>+A265+1</f>
        <v>93</v>
      </c>
      <c r="B267" s="1038" t="s">
        <v>191</v>
      </c>
      <c r="C267" s="1033" t="s">
        <v>531</v>
      </c>
      <c r="D267" s="1034" t="s">
        <v>529</v>
      </c>
      <c r="E267" s="1040">
        <v>1.1000000000000001</v>
      </c>
      <c r="F267" s="1035"/>
      <c r="G267" s="1035"/>
      <c r="H267" s="1035"/>
      <c r="I267" s="1041"/>
      <c r="J267" s="1041"/>
      <c r="K267" s="1041"/>
      <c r="L267" s="639"/>
      <c r="M267" s="640"/>
      <c r="N267" s="641"/>
      <c r="O267" s="642"/>
      <c r="P267" s="643"/>
      <c r="Q267" s="644"/>
      <c r="R267" s="937">
        <f>F268+I268</f>
        <v>0</v>
      </c>
      <c r="S267" s="1042">
        <f>R267+R268</f>
        <v>28.812577500000007</v>
      </c>
      <c r="T267" s="1042">
        <f>E267*S267</f>
        <v>31.69383525000001</v>
      </c>
      <c r="U267" s="1043">
        <f>R268*E267</f>
        <v>31.69383525000001</v>
      </c>
      <c r="V267" s="1033" t="s">
        <v>528</v>
      </c>
      <c r="W267" s="1034" t="s">
        <v>529</v>
      </c>
      <c r="X267" s="721"/>
      <c r="Y267" s="721"/>
      <c r="Z267" s="721"/>
      <c r="AA267" s="721"/>
      <c r="AB267" s="721"/>
      <c r="AC267" s="721"/>
      <c r="AD267" s="721"/>
      <c r="AE267" s="721"/>
    </row>
    <row r="268" spans="1:256" s="912" customFormat="1" ht="15" customHeight="1">
      <c r="A268" s="1037"/>
      <c r="B268" s="1039"/>
      <c r="C268" s="1033"/>
      <c r="D268" s="1034"/>
      <c r="E268" s="1040"/>
      <c r="F268" s="1035">
        <f>F267*J$13/1000</f>
        <v>0</v>
      </c>
      <c r="G268" s="1035"/>
      <c r="H268" s="1035"/>
      <c r="I268" s="1035">
        <f>I267*$Q$13/1000</f>
        <v>0</v>
      </c>
      <c r="J268" s="1035"/>
      <c r="K268" s="1035"/>
      <c r="L268" s="246" t="s">
        <v>532</v>
      </c>
      <c r="M268" s="928" t="s">
        <v>529</v>
      </c>
      <c r="N268" s="929">
        <v>1</v>
      </c>
      <c r="O268" s="930">
        <f>E267*N268</f>
        <v>1.1000000000000001</v>
      </c>
      <c r="P268" s="918">
        <v>25</v>
      </c>
      <c r="Q268" s="931">
        <f>N268*P268*$N$11</f>
        <v>28.812577500000007</v>
      </c>
      <c r="R268" s="937">
        <f>SUM(Q268:Q268)</f>
        <v>28.812577500000007</v>
      </c>
      <c r="S268" s="1042"/>
      <c r="T268" s="1042"/>
      <c r="U268" s="1043"/>
      <c r="V268" s="1033"/>
      <c r="W268" s="1034"/>
      <c r="X268" s="721"/>
      <c r="Y268" s="721"/>
      <c r="Z268" s="721"/>
      <c r="AA268" s="721"/>
      <c r="AB268" s="721"/>
      <c r="AC268" s="721"/>
      <c r="AD268" s="721"/>
      <c r="AE268" s="721"/>
    </row>
    <row r="269" spans="1:256" s="562" customFormat="1" ht="12.75">
      <c r="A269" s="968">
        <f>+A267+1</f>
        <v>94</v>
      </c>
      <c r="B269" s="970" t="s">
        <v>370</v>
      </c>
      <c r="C269" s="972" t="s">
        <v>513</v>
      </c>
      <c r="D269" s="974" t="s">
        <v>180</v>
      </c>
      <c r="E269" s="976">
        <v>2.1</v>
      </c>
      <c r="F269" s="978">
        <v>0.45</v>
      </c>
      <c r="G269" s="978"/>
      <c r="H269" s="978"/>
      <c r="I269" s="978">
        <v>0.37</v>
      </c>
      <c r="J269" s="978"/>
      <c r="K269" s="978"/>
      <c r="L269" s="724"/>
      <c r="M269" s="725"/>
      <c r="N269" s="726"/>
      <c r="O269" s="726"/>
      <c r="P269" s="726"/>
      <c r="Q269" s="763"/>
      <c r="R269" s="772">
        <f>F270+I270</f>
        <v>2.2440897</v>
      </c>
      <c r="S269" s="976">
        <f>R269+R270</f>
        <v>7.5456039600000011</v>
      </c>
      <c r="T269" s="976">
        <f>E269*S269</f>
        <v>15.845768316000003</v>
      </c>
      <c r="U269" s="980">
        <f>E269*Q270</f>
        <v>11.133179946000002</v>
      </c>
      <c r="Y269" s="727"/>
      <c r="Z269" s="727"/>
      <c r="AA269" s="727"/>
      <c r="AB269" s="727"/>
      <c r="AC269" s="727"/>
      <c r="AD269" s="727"/>
      <c r="AE269" s="727"/>
      <c r="AF269" s="727"/>
      <c r="AG269" s="727"/>
      <c r="AH269" s="727"/>
      <c r="AI269" s="727"/>
      <c r="AJ269" s="727"/>
      <c r="AK269" s="727"/>
      <c r="AL269" s="727"/>
      <c r="AM269" s="727"/>
      <c r="AN269" s="727"/>
      <c r="AO269" s="727"/>
      <c r="AP269" s="727"/>
      <c r="AQ269" s="727"/>
      <c r="AR269" s="727"/>
      <c r="AS269" s="727"/>
      <c r="AT269" s="727"/>
      <c r="AU269" s="727"/>
      <c r="AV269" s="727"/>
      <c r="AW269" s="727"/>
      <c r="AX269" s="727"/>
      <c r="AY269" s="727"/>
      <c r="AZ269" s="727"/>
      <c r="BA269" s="727"/>
      <c r="BB269" s="727"/>
      <c r="BC269" s="727"/>
      <c r="BD269" s="727"/>
      <c r="BE269" s="727"/>
      <c r="BF269" s="727"/>
      <c r="BG269" s="727"/>
      <c r="BH269" s="727"/>
      <c r="BI269" s="727"/>
      <c r="BJ269" s="727"/>
      <c r="BK269" s="727"/>
      <c r="BL269" s="727"/>
      <c r="BM269" s="727"/>
      <c r="BN269" s="727"/>
      <c r="BO269" s="727"/>
      <c r="BP269" s="727"/>
      <c r="BQ269" s="727"/>
      <c r="BR269" s="727"/>
      <c r="BS269" s="727"/>
      <c r="BT269" s="727"/>
      <c r="BU269" s="727"/>
      <c r="BV269" s="727"/>
      <c r="BW269" s="727"/>
      <c r="BX269" s="727"/>
      <c r="BY269" s="727"/>
      <c r="BZ269" s="727"/>
      <c r="CA269" s="727"/>
      <c r="CB269" s="727"/>
      <c r="CC269" s="727"/>
      <c r="CD269" s="727"/>
      <c r="CE269" s="727"/>
      <c r="CF269" s="727"/>
      <c r="CG269" s="727"/>
      <c r="CH269" s="727"/>
      <c r="CI269" s="727"/>
      <c r="CJ269" s="727"/>
      <c r="CK269" s="727"/>
      <c r="CL269" s="727"/>
      <c r="CM269" s="727"/>
      <c r="CN269" s="727"/>
      <c r="CO269" s="727"/>
      <c r="CP269" s="727"/>
      <c r="CQ269" s="727"/>
      <c r="CR269" s="727"/>
      <c r="CS269" s="727"/>
      <c r="CT269" s="727"/>
      <c r="CU269" s="727"/>
      <c r="CV269" s="727"/>
      <c r="CW269" s="727"/>
      <c r="CX269" s="727"/>
      <c r="CY269" s="727"/>
      <c r="CZ269" s="727"/>
      <c r="DA269" s="727"/>
      <c r="DB269" s="727"/>
      <c r="DC269" s="727"/>
      <c r="DD269" s="727"/>
      <c r="DE269" s="727"/>
      <c r="DF269" s="727"/>
      <c r="DG269" s="727"/>
      <c r="DH269" s="727"/>
      <c r="DI269" s="727"/>
      <c r="DJ269" s="727"/>
      <c r="DK269" s="727"/>
      <c r="DL269" s="727"/>
      <c r="DM269" s="727"/>
      <c r="DN269" s="727"/>
      <c r="DO269" s="727"/>
      <c r="DP269" s="727"/>
      <c r="DQ269" s="727"/>
      <c r="DR269" s="727"/>
      <c r="DS269" s="727"/>
      <c r="DT269" s="727"/>
      <c r="DU269" s="727"/>
      <c r="DV269" s="727"/>
      <c r="DW269" s="727"/>
      <c r="DX269" s="727"/>
      <c r="DY269" s="727"/>
      <c r="DZ269" s="727"/>
      <c r="EA269" s="727"/>
      <c r="EB269" s="727"/>
      <c r="EC269" s="727"/>
      <c r="ED269" s="727"/>
      <c r="EE269" s="727"/>
      <c r="EF269" s="727"/>
      <c r="EG269" s="727"/>
      <c r="EH269" s="727"/>
      <c r="EI269" s="727"/>
      <c r="EJ269" s="727"/>
      <c r="EK269" s="727"/>
      <c r="EL269" s="727"/>
      <c r="EM269" s="727"/>
      <c r="EN269" s="727"/>
      <c r="EO269" s="727"/>
      <c r="EP269" s="727"/>
      <c r="EQ269" s="727"/>
      <c r="ER269" s="727"/>
      <c r="ES269" s="727"/>
      <c r="ET269" s="727"/>
      <c r="EU269" s="727"/>
      <c r="EV269" s="727"/>
      <c r="EW269" s="727"/>
      <c r="EX269" s="727"/>
      <c r="EY269" s="727"/>
      <c r="EZ269" s="727"/>
      <c r="FA269" s="727"/>
      <c r="FB269" s="727"/>
      <c r="FC269" s="727"/>
      <c r="FD269" s="727"/>
      <c r="FE269" s="727"/>
      <c r="FF269" s="727"/>
      <c r="FG269" s="727"/>
      <c r="FH269" s="727"/>
      <c r="FI269" s="727"/>
      <c r="FJ269" s="727"/>
      <c r="FK269" s="727"/>
      <c r="FL269" s="727"/>
      <c r="FM269" s="727"/>
      <c r="FN269" s="727"/>
      <c r="FO269" s="727"/>
      <c r="FP269" s="727"/>
      <c r="FQ269" s="727"/>
      <c r="FR269" s="727"/>
      <c r="FS269" s="727"/>
      <c r="FT269" s="727"/>
      <c r="FU269" s="727"/>
      <c r="FV269" s="727"/>
      <c r="FW269" s="727"/>
      <c r="FX269" s="727"/>
      <c r="FY269" s="727"/>
      <c r="FZ269" s="727"/>
      <c r="GA269" s="727"/>
      <c r="GB269" s="727"/>
      <c r="GC269" s="727"/>
      <c r="GD269" s="727"/>
      <c r="GE269" s="727"/>
      <c r="GF269" s="727"/>
      <c r="GG269" s="727"/>
      <c r="GH269" s="727"/>
      <c r="GI269" s="727"/>
      <c r="GJ269" s="727"/>
      <c r="GK269" s="727"/>
      <c r="GL269" s="727"/>
      <c r="GM269" s="727"/>
      <c r="GN269" s="727"/>
      <c r="GO269" s="727"/>
      <c r="GP269" s="727"/>
      <c r="GQ269" s="727"/>
      <c r="GR269" s="727"/>
      <c r="GS269" s="727"/>
      <c r="GT269" s="727"/>
      <c r="GU269" s="727"/>
      <c r="GV269" s="727"/>
      <c r="GW269" s="727"/>
      <c r="GX269" s="727"/>
      <c r="GY269" s="727"/>
      <c r="GZ269" s="727"/>
      <c r="HA269" s="727"/>
      <c r="HB269" s="727"/>
      <c r="HC269" s="727"/>
      <c r="HD269" s="727"/>
      <c r="HE269" s="727"/>
      <c r="HF269" s="727"/>
      <c r="HG269" s="727"/>
      <c r="HH269" s="727"/>
      <c r="HI269" s="727"/>
      <c r="HJ269" s="727"/>
      <c r="HK269" s="727"/>
      <c r="HL269" s="727"/>
      <c r="HM269" s="727"/>
      <c r="HN269" s="727"/>
      <c r="HO269" s="727"/>
      <c r="HP269" s="727"/>
      <c r="HQ269" s="727"/>
      <c r="HR269" s="727"/>
      <c r="HS269" s="727"/>
      <c r="HT269" s="727"/>
      <c r="HU269" s="727"/>
      <c r="HV269" s="727"/>
      <c r="HW269" s="727"/>
      <c r="HX269" s="727"/>
      <c r="HY269" s="727"/>
      <c r="HZ269" s="727"/>
      <c r="IA269" s="727"/>
      <c r="IB269" s="727"/>
      <c r="IC269" s="727"/>
      <c r="ID269" s="727"/>
      <c r="IE269" s="727"/>
      <c r="IF269" s="727"/>
      <c r="IG269" s="727"/>
      <c r="IH269" s="727"/>
      <c r="II269" s="727"/>
      <c r="IJ269" s="727"/>
      <c r="IK269" s="727"/>
      <c r="IL269" s="727"/>
      <c r="IM269" s="727"/>
      <c r="IN269" s="727"/>
      <c r="IO269" s="727"/>
      <c r="IP269" s="727"/>
      <c r="IQ269" s="727"/>
      <c r="IR269" s="727"/>
      <c r="IS269" s="727"/>
      <c r="IT269" s="727"/>
      <c r="IU269" s="727"/>
      <c r="IV269" s="727"/>
    </row>
    <row r="270" spans="1:256" s="562" customFormat="1" ht="23.25" customHeight="1">
      <c r="A270" s="969"/>
      <c r="B270" s="971"/>
      <c r="C270" s="973"/>
      <c r="D270" s="975"/>
      <c r="E270" s="977"/>
      <c r="F270" s="978">
        <f>F269*$J$13/1000</f>
        <v>1.0516500000000002</v>
      </c>
      <c r="G270" s="978"/>
      <c r="H270" s="978"/>
      <c r="I270" s="978">
        <f>I269*$Q$13/1000</f>
        <v>1.1924397</v>
      </c>
      <c r="J270" s="978"/>
      <c r="K270" s="978"/>
      <c r="L270" s="919" t="s">
        <v>371</v>
      </c>
      <c r="M270" s="920" t="s">
        <v>180</v>
      </c>
      <c r="N270" s="921">
        <v>1.1499999999999999</v>
      </c>
      <c r="O270" s="922">
        <f>E269*N270</f>
        <v>2.415</v>
      </c>
      <c r="P270" s="923">
        <v>4</v>
      </c>
      <c r="Q270" s="924">
        <f>N270*P270*$N$11</f>
        <v>5.3015142600000011</v>
      </c>
      <c r="R270" s="925">
        <f>SUM(Q270:Q270)</f>
        <v>5.3015142600000011</v>
      </c>
      <c r="S270" s="977"/>
      <c r="T270" s="979"/>
      <c r="U270" s="981"/>
      <c r="Y270" s="727"/>
      <c r="Z270" s="727"/>
      <c r="AA270" s="727"/>
      <c r="AB270" s="727"/>
      <c r="AC270" s="727"/>
      <c r="AD270" s="727"/>
      <c r="AE270" s="727"/>
      <c r="AF270" s="727"/>
      <c r="AG270" s="727"/>
      <c r="AH270" s="727"/>
      <c r="AI270" s="727"/>
      <c r="AJ270" s="727"/>
      <c r="AK270" s="727"/>
      <c r="AL270" s="727"/>
      <c r="AM270" s="727"/>
      <c r="AN270" s="727"/>
      <c r="AO270" s="727"/>
      <c r="AP270" s="727"/>
      <c r="AQ270" s="727"/>
      <c r="AR270" s="727"/>
      <c r="AS270" s="727"/>
      <c r="AT270" s="727"/>
      <c r="AU270" s="727"/>
      <c r="AV270" s="727"/>
      <c r="AW270" s="727"/>
      <c r="AX270" s="727"/>
      <c r="AY270" s="727"/>
      <c r="AZ270" s="727"/>
      <c r="BA270" s="727"/>
      <c r="BB270" s="727"/>
      <c r="BC270" s="727"/>
      <c r="BD270" s="727"/>
      <c r="BE270" s="727"/>
      <c r="BF270" s="727"/>
      <c r="BG270" s="727"/>
      <c r="BH270" s="727"/>
      <c r="BI270" s="727"/>
      <c r="BJ270" s="727"/>
      <c r="BK270" s="727"/>
      <c r="BL270" s="727"/>
      <c r="BM270" s="727"/>
      <c r="BN270" s="727"/>
      <c r="BO270" s="727"/>
      <c r="BP270" s="727"/>
      <c r="BQ270" s="727"/>
      <c r="BR270" s="727"/>
      <c r="BS270" s="727"/>
      <c r="BT270" s="727"/>
      <c r="BU270" s="727"/>
      <c r="BV270" s="727"/>
      <c r="BW270" s="727"/>
      <c r="BX270" s="727"/>
      <c r="BY270" s="727"/>
      <c r="BZ270" s="727"/>
      <c r="CA270" s="727"/>
      <c r="CB270" s="727"/>
      <c r="CC270" s="727"/>
      <c r="CD270" s="727"/>
      <c r="CE270" s="727"/>
      <c r="CF270" s="727"/>
      <c r="CG270" s="727"/>
      <c r="CH270" s="727"/>
      <c r="CI270" s="727"/>
      <c r="CJ270" s="727"/>
      <c r="CK270" s="727"/>
      <c r="CL270" s="727"/>
      <c r="CM270" s="727"/>
      <c r="CN270" s="727"/>
      <c r="CO270" s="727"/>
      <c r="CP270" s="727"/>
      <c r="CQ270" s="727"/>
      <c r="CR270" s="727"/>
      <c r="CS270" s="727"/>
      <c r="CT270" s="727"/>
      <c r="CU270" s="727"/>
      <c r="CV270" s="727"/>
      <c r="CW270" s="727"/>
      <c r="CX270" s="727"/>
      <c r="CY270" s="727"/>
      <c r="CZ270" s="727"/>
      <c r="DA270" s="727"/>
      <c r="DB270" s="727"/>
      <c r="DC270" s="727"/>
      <c r="DD270" s="727"/>
      <c r="DE270" s="727"/>
      <c r="DF270" s="727"/>
      <c r="DG270" s="727"/>
      <c r="DH270" s="727"/>
      <c r="DI270" s="727"/>
      <c r="DJ270" s="727"/>
      <c r="DK270" s="727"/>
      <c r="DL270" s="727"/>
      <c r="DM270" s="727"/>
      <c r="DN270" s="727"/>
      <c r="DO270" s="727"/>
      <c r="DP270" s="727"/>
      <c r="DQ270" s="727"/>
      <c r="DR270" s="727"/>
      <c r="DS270" s="727"/>
      <c r="DT270" s="727"/>
      <c r="DU270" s="727"/>
      <c r="DV270" s="727"/>
      <c r="DW270" s="727"/>
      <c r="DX270" s="727"/>
      <c r="DY270" s="727"/>
      <c r="DZ270" s="727"/>
      <c r="EA270" s="727"/>
      <c r="EB270" s="727"/>
      <c r="EC270" s="727"/>
      <c r="ED270" s="727"/>
      <c r="EE270" s="727"/>
      <c r="EF270" s="727"/>
      <c r="EG270" s="727"/>
      <c r="EH270" s="727"/>
      <c r="EI270" s="727"/>
      <c r="EJ270" s="727"/>
      <c r="EK270" s="727"/>
      <c r="EL270" s="727"/>
      <c r="EM270" s="727"/>
      <c r="EN270" s="727"/>
      <c r="EO270" s="727"/>
      <c r="EP270" s="727"/>
      <c r="EQ270" s="727"/>
      <c r="ER270" s="727"/>
      <c r="ES270" s="727"/>
      <c r="ET270" s="727"/>
      <c r="EU270" s="727"/>
      <c r="EV270" s="727"/>
      <c r="EW270" s="727"/>
      <c r="EX270" s="727"/>
      <c r="EY270" s="727"/>
      <c r="EZ270" s="727"/>
      <c r="FA270" s="727"/>
      <c r="FB270" s="727"/>
      <c r="FC270" s="727"/>
      <c r="FD270" s="727"/>
      <c r="FE270" s="727"/>
      <c r="FF270" s="727"/>
      <c r="FG270" s="727"/>
      <c r="FH270" s="727"/>
      <c r="FI270" s="727"/>
      <c r="FJ270" s="727"/>
      <c r="FK270" s="727"/>
      <c r="FL270" s="727"/>
      <c r="FM270" s="727"/>
      <c r="FN270" s="727"/>
      <c r="FO270" s="727"/>
      <c r="FP270" s="727"/>
      <c r="FQ270" s="727"/>
      <c r="FR270" s="727"/>
      <c r="FS270" s="727"/>
      <c r="FT270" s="727"/>
      <c r="FU270" s="727"/>
      <c r="FV270" s="727"/>
      <c r="FW270" s="727"/>
      <c r="FX270" s="727"/>
      <c r="FY270" s="727"/>
      <c r="FZ270" s="727"/>
      <c r="GA270" s="727"/>
      <c r="GB270" s="727"/>
      <c r="GC270" s="727"/>
      <c r="GD270" s="727"/>
      <c r="GE270" s="727"/>
      <c r="GF270" s="727"/>
      <c r="GG270" s="727"/>
      <c r="GH270" s="727"/>
      <c r="GI270" s="727"/>
      <c r="GJ270" s="727"/>
      <c r="GK270" s="727"/>
      <c r="GL270" s="727"/>
      <c r="GM270" s="727"/>
      <c r="GN270" s="727"/>
      <c r="GO270" s="727"/>
      <c r="GP270" s="727"/>
      <c r="GQ270" s="727"/>
      <c r="GR270" s="727"/>
      <c r="GS270" s="727"/>
      <c r="GT270" s="727"/>
      <c r="GU270" s="727"/>
      <c r="GV270" s="727"/>
      <c r="GW270" s="727"/>
      <c r="GX270" s="727"/>
      <c r="GY270" s="727"/>
      <c r="GZ270" s="727"/>
      <c r="HA270" s="727"/>
      <c r="HB270" s="727"/>
      <c r="HC270" s="727"/>
      <c r="HD270" s="727"/>
      <c r="HE270" s="727"/>
      <c r="HF270" s="727"/>
      <c r="HG270" s="727"/>
      <c r="HH270" s="727"/>
      <c r="HI270" s="727"/>
      <c r="HJ270" s="727"/>
      <c r="HK270" s="727"/>
      <c r="HL270" s="727"/>
      <c r="HM270" s="727"/>
      <c r="HN270" s="727"/>
      <c r="HO270" s="727"/>
      <c r="HP270" s="727"/>
      <c r="HQ270" s="727"/>
      <c r="HR270" s="727"/>
      <c r="HS270" s="727"/>
      <c r="HT270" s="727"/>
      <c r="HU270" s="727"/>
      <c r="HV270" s="727"/>
      <c r="HW270" s="727"/>
      <c r="HX270" s="727"/>
      <c r="HY270" s="727"/>
      <c r="HZ270" s="727"/>
      <c r="IA270" s="727"/>
      <c r="IB270" s="727"/>
      <c r="IC270" s="727"/>
      <c r="ID270" s="727"/>
      <c r="IE270" s="727"/>
      <c r="IF270" s="727"/>
      <c r="IG270" s="727"/>
      <c r="IH270" s="727"/>
      <c r="II270" s="727"/>
      <c r="IJ270" s="727"/>
      <c r="IK270" s="727"/>
      <c r="IL270" s="727"/>
      <c r="IM270" s="727"/>
      <c r="IN270" s="727"/>
      <c r="IO270" s="727"/>
      <c r="IP270" s="727"/>
      <c r="IQ270" s="727"/>
      <c r="IR270" s="727"/>
      <c r="IS270" s="727"/>
      <c r="IT270" s="727"/>
      <c r="IU270" s="727"/>
      <c r="IV270" s="727"/>
    </row>
    <row r="271" spans="1:256" s="730" customFormat="1" ht="27" customHeight="1">
      <c r="A271" s="1023">
        <f>+A269+1</f>
        <v>95</v>
      </c>
      <c r="B271" s="1008" t="s">
        <v>388</v>
      </c>
      <c r="C271" s="1011" t="s">
        <v>390</v>
      </c>
      <c r="D271" s="1014" t="s">
        <v>180</v>
      </c>
      <c r="E271" s="1027">
        <v>2.1</v>
      </c>
      <c r="F271" s="1027">
        <v>0.7</v>
      </c>
      <c r="G271" s="1029"/>
      <c r="H271" s="1029"/>
      <c r="I271" s="1027">
        <v>0.28000000000000003</v>
      </c>
      <c r="J271" s="1029"/>
      <c r="K271" s="1030"/>
      <c r="L271" s="864"/>
      <c r="M271" s="728"/>
      <c r="N271" s="370"/>
      <c r="O271" s="754"/>
      <c r="P271" s="577"/>
      <c r="Q271" s="753"/>
      <c r="R271" s="750">
        <f>F272+I272</f>
        <v>2.5382867999999998</v>
      </c>
      <c r="S271" s="988">
        <f>R271+R272</f>
        <v>31.535656647054012</v>
      </c>
      <c r="T271" s="988">
        <f>E271*S271</f>
        <v>66.22487895881342</v>
      </c>
      <c r="U271" s="1031">
        <f>R272*E271</f>
        <v>60.894476678813426</v>
      </c>
      <c r="V271" s="1011" t="s">
        <v>390</v>
      </c>
      <c r="W271" s="1014" t="s">
        <v>180</v>
      </c>
      <c r="X271" s="729"/>
      <c r="Y271" s="865"/>
      <c r="Z271" s="865"/>
      <c r="AA271" s="865"/>
      <c r="AB271" s="729"/>
      <c r="AC271" s="729"/>
      <c r="AD271" s="729"/>
      <c r="AE271" s="729"/>
    </row>
    <row r="272" spans="1:256" s="730" customFormat="1" ht="22.5" customHeight="1">
      <c r="A272" s="1024"/>
      <c r="B272" s="1025"/>
      <c r="C272" s="1026"/>
      <c r="D272" s="1016"/>
      <c r="E272" s="1028"/>
      <c r="F272" s="1027">
        <f>F271*$J$13/1000</f>
        <v>1.6358999999999999</v>
      </c>
      <c r="G272" s="1029"/>
      <c r="H272" s="1029"/>
      <c r="I272" s="1027">
        <f>I271*$Q$13/1000</f>
        <v>0.90238680000000016</v>
      </c>
      <c r="J272" s="1029"/>
      <c r="K272" s="1029"/>
      <c r="L272" s="743" t="s">
        <v>356</v>
      </c>
      <c r="M272" s="250" t="s">
        <v>180</v>
      </c>
      <c r="N272" s="265">
        <v>1.02</v>
      </c>
      <c r="O272" s="265">
        <f>E271*N272</f>
        <v>2.1420000000000003</v>
      </c>
      <c r="P272" s="236">
        <v>24.667000000000002</v>
      </c>
      <c r="Q272" s="233">
        <f>N272*P272*$N$11</f>
        <v>28.99736984705401</v>
      </c>
      <c r="R272" s="757">
        <f>SUM(Q272:Q272)</f>
        <v>28.99736984705401</v>
      </c>
      <c r="S272" s="1025"/>
      <c r="T272" s="1025"/>
      <c r="U272" s="1032"/>
      <c r="V272" s="1026"/>
      <c r="W272" s="1016"/>
      <c r="X272" s="729"/>
      <c r="Y272" s="865"/>
      <c r="Z272" s="865"/>
      <c r="AA272" s="865"/>
      <c r="AB272" s="729"/>
      <c r="AC272" s="729"/>
      <c r="AD272" s="729"/>
      <c r="AE272" s="729"/>
    </row>
    <row r="273" spans="1:37" s="405" customFormat="1" ht="12.75" customHeight="1">
      <c r="A273" s="1005">
        <f>+A271+1</f>
        <v>96</v>
      </c>
      <c r="B273" s="1008" t="s">
        <v>344</v>
      </c>
      <c r="C273" s="1011" t="s">
        <v>533</v>
      </c>
      <c r="D273" s="1014" t="s">
        <v>180</v>
      </c>
      <c r="E273" s="987">
        <v>3.5</v>
      </c>
      <c r="F273" s="990">
        <v>1</v>
      </c>
      <c r="G273" s="991"/>
      <c r="H273" s="992"/>
      <c r="I273" s="993">
        <v>0.77</v>
      </c>
      <c r="J273" s="994"/>
      <c r="K273" s="995"/>
      <c r="L273" s="635"/>
      <c r="M273" s="638"/>
      <c r="N273" s="404"/>
      <c r="O273" s="756"/>
      <c r="P273" s="756"/>
      <c r="Q273" s="749"/>
      <c r="R273" s="755">
        <f>F274+I274</f>
        <v>4.8185637000000003</v>
      </c>
      <c r="S273" s="987">
        <f>R273+R274</f>
        <v>69.54698254634161</v>
      </c>
      <c r="T273" s="987">
        <f>E273*S273</f>
        <v>243.41443891219564</v>
      </c>
      <c r="U273" s="1017">
        <f t="shared" ref="U273" si="17">E273*R274</f>
        <v>226.54946596219565</v>
      </c>
      <c r="V273" s="1011" t="s">
        <v>391</v>
      </c>
      <c r="W273" s="1014" t="s">
        <v>180</v>
      </c>
    </row>
    <row r="274" spans="1:37" s="405" customFormat="1" ht="12">
      <c r="A274" s="1006"/>
      <c r="B274" s="1009"/>
      <c r="C274" s="1012"/>
      <c r="D274" s="1015"/>
      <c r="E274" s="988"/>
      <c r="F274" s="1020">
        <f>F273*J$13/1000</f>
        <v>2.3370000000000002</v>
      </c>
      <c r="G274" s="1020"/>
      <c r="H274" s="1020"/>
      <c r="I274" s="1020">
        <f>I273*$Q$13/1000</f>
        <v>2.4815637000000001</v>
      </c>
      <c r="J274" s="1020"/>
      <c r="K274" s="1020"/>
      <c r="L274" s="249" t="s">
        <v>394</v>
      </c>
      <c r="M274" s="250" t="s">
        <v>184</v>
      </c>
      <c r="N274" s="406">
        <v>1.0149999999999999</v>
      </c>
      <c r="O274" s="252">
        <f>E273*N274</f>
        <v>3.5524999999999998</v>
      </c>
      <c r="P274" s="236">
        <v>55</v>
      </c>
      <c r="Q274" s="253">
        <f>N274*P274*$N$11</f>
        <v>64.338485557500007</v>
      </c>
      <c r="R274" s="987">
        <f>SUM(Q274:Q276)</f>
        <v>64.728418846341611</v>
      </c>
      <c r="S274" s="988"/>
      <c r="T274" s="988"/>
      <c r="U274" s="1018"/>
      <c r="V274" s="1012"/>
      <c r="W274" s="1015"/>
    </row>
    <row r="275" spans="1:37" s="405" customFormat="1" ht="12">
      <c r="A275" s="1006"/>
      <c r="B275" s="1009"/>
      <c r="C275" s="1012"/>
      <c r="D275" s="1015"/>
      <c r="E275" s="988"/>
      <c r="F275" s="1020"/>
      <c r="G275" s="1020"/>
      <c r="H275" s="1020"/>
      <c r="I275" s="1020"/>
      <c r="J275" s="1020"/>
      <c r="K275" s="1020"/>
      <c r="L275" s="450" t="s">
        <v>185</v>
      </c>
      <c r="M275" s="260" t="s">
        <v>186</v>
      </c>
      <c r="N275" s="407">
        <v>7.0000000000000007E-2</v>
      </c>
      <c r="O275" s="261">
        <f>E273*N275</f>
        <v>0.24500000000000002</v>
      </c>
      <c r="P275" s="237">
        <v>3.5</v>
      </c>
      <c r="Q275" s="412">
        <f>N275*P275*$N$11</f>
        <v>0.28236325950000013</v>
      </c>
      <c r="R275" s="988"/>
      <c r="S275" s="988"/>
      <c r="T275" s="988"/>
      <c r="U275" s="1018"/>
      <c r="V275" s="1012"/>
      <c r="W275" s="1015"/>
    </row>
    <row r="276" spans="1:37" s="405" customFormat="1" ht="13.5" customHeight="1">
      <c r="A276" s="1007"/>
      <c r="B276" s="1010"/>
      <c r="C276" s="1013"/>
      <c r="D276" s="1016"/>
      <c r="E276" s="989"/>
      <c r="F276" s="1020"/>
      <c r="G276" s="1020"/>
      <c r="H276" s="1020"/>
      <c r="I276" s="1020"/>
      <c r="J276" s="1020"/>
      <c r="K276" s="1020"/>
      <c r="L276" s="263" t="s">
        <v>187</v>
      </c>
      <c r="M276" s="254" t="s">
        <v>184</v>
      </c>
      <c r="N276" s="408">
        <v>8.0000000000000004E-4</v>
      </c>
      <c r="O276" s="256">
        <f>E273*N276</f>
        <v>2.8E-3</v>
      </c>
      <c r="P276" s="411">
        <v>116.67</v>
      </c>
      <c r="Q276" s="258">
        <f>N276*P276*$N$11</f>
        <v>0.10757002934160004</v>
      </c>
      <c r="R276" s="989"/>
      <c r="S276" s="989"/>
      <c r="T276" s="989"/>
      <c r="U276" s="1019"/>
      <c r="V276" s="1013"/>
      <c r="W276" s="1016"/>
    </row>
    <row r="277" spans="1:37" s="470" customFormat="1" ht="12">
      <c r="A277" s="1005">
        <f>+A273+1</f>
        <v>97</v>
      </c>
      <c r="B277" s="1008" t="s">
        <v>395</v>
      </c>
      <c r="C277" s="1011" t="s">
        <v>400</v>
      </c>
      <c r="D277" s="1014" t="s">
        <v>180</v>
      </c>
      <c r="E277" s="987">
        <v>7.7</v>
      </c>
      <c r="F277" s="990">
        <v>7.63</v>
      </c>
      <c r="G277" s="991"/>
      <c r="H277" s="992"/>
      <c r="I277" s="993">
        <v>1.43</v>
      </c>
      <c r="J277" s="994"/>
      <c r="K277" s="995"/>
      <c r="L277" s="660"/>
      <c r="M277" s="638"/>
      <c r="N277" s="756"/>
      <c r="O277" s="756"/>
      <c r="P277" s="756"/>
      <c r="Q277" s="749"/>
      <c r="R277" s="755">
        <f>F278+I278</f>
        <v>22.439928300000002</v>
      </c>
      <c r="S277" s="987">
        <f>R277+R278</f>
        <v>113.57364993126004</v>
      </c>
      <c r="T277" s="987">
        <f>E277*S277</f>
        <v>874.51710447070229</v>
      </c>
      <c r="U277" s="1017">
        <f t="shared" ref="U277" si="18">E277*R278</f>
        <v>701.72965656070221</v>
      </c>
      <c r="V277" s="1011" t="s">
        <v>397</v>
      </c>
      <c r="W277" s="1014" t="s">
        <v>180</v>
      </c>
      <c r="X277" s="405"/>
      <c r="Y277" s="405"/>
      <c r="Z277" s="405"/>
      <c r="AA277" s="405"/>
      <c r="AB277" s="405"/>
      <c r="AC277" s="405"/>
      <c r="AD277" s="405"/>
      <c r="AE277" s="405"/>
    </row>
    <row r="278" spans="1:37" s="470" customFormat="1" ht="12">
      <c r="A278" s="1006"/>
      <c r="B278" s="1009"/>
      <c r="C278" s="1012"/>
      <c r="D278" s="1015"/>
      <c r="E278" s="988"/>
      <c r="F278" s="1020">
        <f>F277*J$13/1000</f>
        <v>17.831310000000002</v>
      </c>
      <c r="G278" s="1020"/>
      <c r="H278" s="1020"/>
      <c r="I278" s="1020">
        <f>I277*$Q$13/1000</f>
        <v>4.6086182999999998</v>
      </c>
      <c r="J278" s="1020"/>
      <c r="K278" s="1020"/>
      <c r="L278" s="249" t="s">
        <v>394</v>
      </c>
      <c r="M278" s="250" t="s">
        <v>184</v>
      </c>
      <c r="N278" s="252">
        <v>1</v>
      </c>
      <c r="O278" s="252">
        <f>E277*N278</f>
        <v>7.7</v>
      </c>
      <c r="P278" s="236">
        <v>55</v>
      </c>
      <c r="Q278" s="253">
        <f>N278*P278*$N$11</f>
        <v>63.38767050000002</v>
      </c>
      <c r="R278" s="987">
        <f>SUM(Q278:Q282)</f>
        <v>91.13372163126003</v>
      </c>
      <c r="S278" s="988"/>
      <c r="T278" s="988"/>
      <c r="U278" s="1018"/>
      <c r="V278" s="1012"/>
      <c r="W278" s="1015"/>
      <c r="X278" s="405"/>
      <c r="Y278" s="405"/>
      <c r="Z278" s="405"/>
      <c r="AA278" s="405"/>
      <c r="AB278" s="405"/>
      <c r="AC278" s="405"/>
      <c r="AD278" s="405"/>
      <c r="AE278" s="405"/>
    </row>
    <row r="279" spans="1:37" s="470" customFormat="1" ht="12">
      <c r="A279" s="1006"/>
      <c r="B279" s="1009"/>
      <c r="C279" s="1012"/>
      <c r="D279" s="1015"/>
      <c r="E279" s="988"/>
      <c r="F279" s="1020"/>
      <c r="G279" s="1020"/>
      <c r="H279" s="1020"/>
      <c r="I279" s="1020"/>
      <c r="J279" s="1020"/>
      <c r="K279" s="1020"/>
      <c r="L279" s="450" t="s">
        <v>185</v>
      </c>
      <c r="M279" s="260" t="s">
        <v>186</v>
      </c>
      <c r="N279" s="261">
        <v>2.64</v>
      </c>
      <c r="O279" s="261">
        <f>E277*N279</f>
        <v>20.328000000000003</v>
      </c>
      <c r="P279" s="237">
        <v>3.5</v>
      </c>
      <c r="Q279" s="412">
        <f>N279*P279*$N$11</f>
        <v>10.649128644000003</v>
      </c>
      <c r="R279" s="988"/>
      <c r="S279" s="988"/>
      <c r="T279" s="988"/>
      <c r="U279" s="1018"/>
      <c r="V279" s="1012"/>
      <c r="W279" s="1015"/>
      <c r="X279" s="405"/>
      <c r="Y279" s="405"/>
      <c r="Z279" s="405"/>
      <c r="AA279" s="405"/>
      <c r="AB279" s="405"/>
      <c r="AC279" s="405"/>
      <c r="AD279" s="405"/>
      <c r="AE279" s="405"/>
    </row>
    <row r="280" spans="1:37" s="470" customFormat="1" ht="13.5" customHeight="1">
      <c r="A280" s="1006"/>
      <c r="B280" s="1009"/>
      <c r="C280" s="1012"/>
      <c r="D280" s="1015"/>
      <c r="E280" s="988"/>
      <c r="F280" s="1020"/>
      <c r="G280" s="1020"/>
      <c r="H280" s="1020"/>
      <c r="I280" s="1020"/>
      <c r="J280" s="1020"/>
      <c r="K280" s="1020"/>
      <c r="L280" s="450" t="s">
        <v>187</v>
      </c>
      <c r="M280" s="260" t="s">
        <v>184</v>
      </c>
      <c r="N280" s="261">
        <v>0.06</v>
      </c>
      <c r="O280" s="261">
        <f>E277*N280</f>
        <v>0.46199999999999997</v>
      </c>
      <c r="P280" s="237">
        <v>116.67</v>
      </c>
      <c r="Q280" s="412">
        <f>N280*P280*$N$11</f>
        <v>8.0677522006200011</v>
      </c>
      <c r="R280" s="988"/>
      <c r="S280" s="988"/>
      <c r="T280" s="988"/>
      <c r="U280" s="1018"/>
      <c r="V280" s="1012"/>
      <c r="W280" s="1015"/>
      <c r="X280" s="405"/>
      <c r="Y280" s="405"/>
      <c r="Z280" s="405"/>
      <c r="AA280" s="405"/>
      <c r="AB280" s="405"/>
      <c r="AC280" s="405"/>
      <c r="AD280" s="405"/>
      <c r="AE280" s="405"/>
    </row>
    <row r="281" spans="1:37" s="470" customFormat="1" ht="13.5" customHeight="1">
      <c r="A281" s="1006"/>
      <c r="B281" s="1009"/>
      <c r="C281" s="1012"/>
      <c r="D281" s="1015"/>
      <c r="E281" s="988"/>
      <c r="F281" s="1020"/>
      <c r="G281" s="1020"/>
      <c r="H281" s="1020"/>
      <c r="I281" s="1020"/>
      <c r="J281" s="1020"/>
      <c r="K281" s="1020"/>
      <c r="L281" s="263" t="s">
        <v>349</v>
      </c>
      <c r="M281" s="254" t="s">
        <v>124</v>
      </c>
      <c r="N281" s="257">
        <v>3.2</v>
      </c>
      <c r="O281" s="257">
        <f>E277*N281</f>
        <v>24.64</v>
      </c>
      <c r="P281" s="411">
        <v>1.167</v>
      </c>
      <c r="Q281" s="258">
        <f>N281*P281*$N$11</f>
        <v>4.3039075766400021</v>
      </c>
      <c r="R281" s="988"/>
      <c r="S281" s="988"/>
      <c r="T281" s="988"/>
      <c r="U281" s="1018"/>
      <c r="V281" s="1012"/>
      <c r="W281" s="1015"/>
      <c r="X281" s="405"/>
      <c r="Y281" s="405"/>
      <c r="Z281" s="405"/>
      <c r="AA281" s="405"/>
      <c r="AB281" s="405"/>
      <c r="AC281" s="405"/>
      <c r="AD281" s="405"/>
      <c r="AE281" s="405"/>
    </row>
    <row r="282" spans="1:37" s="470" customFormat="1" ht="13.5" customHeight="1">
      <c r="A282" s="1007"/>
      <c r="B282" s="1010"/>
      <c r="C282" s="1013"/>
      <c r="D282" s="1016"/>
      <c r="E282" s="989"/>
      <c r="F282" s="1020"/>
      <c r="G282" s="1020"/>
      <c r="H282" s="1020"/>
      <c r="I282" s="1020"/>
      <c r="J282" s="1020"/>
      <c r="K282" s="1020"/>
      <c r="L282" s="866" t="s">
        <v>190</v>
      </c>
      <c r="M282" s="254" t="s">
        <v>124</v>
      </c>
      <c r="N282" s="256">
        <v>4.0999999999999996</v>
      </c>
      <c r="O282" s="256">
        <f>E277*N282</f>
        <v>31.569999999999997</v>
      </c>
      <c r="P282" s="411">
        <v>1</v>
      </c>
      <c r="Q282" s="258">
        <f>N282*P282*$N$11</f>
        <v>4.7252627100000009</v>
      </c>
      <c r="R282" s="989"/>
      <c r="S282" s="989"/>
      <c r="T282" s="989"/>
      <c r="U282" s="1019"/>
      <c r="V282" s="1013"/>
      <c r="W282" s="1016"/>
      <c r="X282" s="405"/>
      <c r="Y282" s="405"/>
      <c r="Z282" s="405"/>
      <c r="AA282" s="405"/>
      <c r="AB282" s="405"/>
      <c r="AC282" s="405"/>
      <c r="AD282" s="405"/>
      <c r="AE282" s="405"/>
    </row>
    <row r="283" spans="1:37" s="694" customFormat="1" ht="12.75" customHeight="1">
      <c r="A283" s="1021">
        <f>+A277+1</f>
        <v>98</v>
      </c>
      <c r="B283" s="1022" t="s">
        <v>359</v>
      </c>
      <c r="C283" s="983" t="s">
        <v>399</v>
      </c>
      <c r="D283" s="984" t="s">
        <v>180</v>
      </c>
      <c r="E283" s="996">
        <v>2.7</v>
      </c>
      <c r="F283" s="997">
        <v>4.6100000000000003</v>
      </c>
      <c r="G283" s="997"/>
      <c r="H283" s="997"/>
      <c r="I283" s="998">
        <v>0.81</v>
      </c>
      <c r="J283" s="998"/>
      <c r="K283" s="998"/>
      <c r="L283" s="660"/>
      <c r="M283" s="638"/>
      <c r="N283" s="756"/>
      <c r="O283" s="756"/>
      <c r="P283" s="756"/>
      <c r="Q283" s="749"/>
      <c r="R283" s="765">
        <f>F284+I284</f>
        <v>13.384046100000003</v>
      </c>
      <c r="S283" s="997">
        <f>R283+R284</f>
        <v>88.807224645579922</v>
      </c>
      <c r="T283" s="997">
        <f>E283*S283</f>
        <v>239.77950654306579</v>
      </c>
      <c r="U283" s="982">
        <f>R284*E283</f>
        <v>203.6425820730658</v>
      </c>
      <c r="V283" s="983" t="s">
        <v>399</v>
      </c>
      <c r="W283" s="984" t="s">
        <v>180</v>
      </c>
      <c r="X283" s="692"/>
      <c r="Y283" s="693"/>
      <c r="Z283" s="693"/>
      <c r="AA283" s="693"/>
      <c r="AB283" s="693"/>
      <c r="AC283" s="693"/>
      <c r="AD283" s="693"/>
      <c r="AE283" s="693"/>
      <c r="AF283" s="693"/>
      <c r="AG283" s="693"/>
      <c r="AH283" s="693"/>
      <c r="AI283" s="693"/>
      <c r="AJ283" s="693"/>
      <c r="AK283" s="693"/>
    </row>
    <row r="284" spans="1:37" s="694" customFormat="1" ht="12.75" customHeight="1">
      <c r="A284" s="1021"/>
      <c r="B284" s="1022"/>
      <c r="C284" s="983"/>
      <c r="D284" s="985"/>
      <c r="E284" s="996"/>
      <c r="F284" s="997">
        <f>F283*J$13/1000</f>
        <v>10.773570000000001</v>
      </c>
      <c r="G284" s="997"/>
      <c r="H284" s="997"/>
      <c r="I284" s="997">
        <f>I283*$Q$13/1000</f>
        <v>2.6104761000000005</v>
      </c>
      <c r="J284" s="997"/>
      <c r="K284" s="997"/>
      <c r="L284" s="249" t="s">
        <v>394</v>
      </c>
      <c r="M284" s="250" t="s">
        <v>184</v>
      </c>
      <c r="N284" s="252">
        <v>1.02</v>
      </c>
      <c r="O284" s="252">
        <f>E283*N284</f>
        <v>2.7540000000000004</v>
      </c>
      <c r="P284" s="236">
        <v>55</v>
      </c>
      <c r="Q284" s="253">
        <f>N284*P284*$N$11</f>
        <v>64.655423910000025</v>
      </c>
      <c r="R284" s="997">
        <f>SUM(Q284:Q286)</f>
        <v>75.423178545579916</v>
      </c>
      <c r="S284" s="997"/>
      <c r="T284" s="997"/>
      <c r="U284" s="982"/>
      <c r="V284" s="983"/>
      <c r="W284" s="985"/>
      <c r="X284" s="692"/>
      <c r="Y284" s="693"/>
      <c r="Z284" s="693"/>
      <c r="AA284" s="693"/>
      <c r="AB284" s="693"/>
      <c r="AC284" s="693"/>
      <c r="AD284" s="693"/>
      <c r="AE284" s="693"/>
      <c r="AF284" s="693"/>
      <c r="AG284" s="693"/>
      <c r="AH284" s="693"/>
      <c r="AI284" s="693"/>
      <c r="AJ284" s="693"/>
      <c r="AK284" s="693"/>
    </row>
    <row r="285" spans="1:37" s="694" customFormat="1" ht="12.75" customHeight="1">
      <c r="A285" s="1021"/>
      <c r="B285" s="1022"/>
      <c r="C285" s="983"/>
      <c r="D285" s="985"/>
      <c r="E285" s="996"/>
      <c r="F285" s="997"/>
      <c r="G285" s="997"/>
      <c r="H285" s="997"/>
      <c r="I285" s="997"/>
      <c r="J285" s="997"/>
      <c r="K285" s="997"/>
      <c r="L285" s="450" t="s">
        <v>185</v>
      </c>
      <c r="M285" s="260" t="s">
        <v>186</v>
      </c>
      <c r="N285" s="261">
        <v>1.37</v>
      </c>
      <c r="O285" s="261">
        <f>E283*N285</f>
        <v>3.6990000000000007</v>
      </c>
      <c r="P285" s="237">
        <v>3.5</v>
      </c>
      <c r="Q285" s="412">
        <f>N285*P285*$N$11</f>
        <v>5.5262523645000012</v>
      </c>
      <c r="R285" s="997"/>
      <c r="S285" s="997"/>
      <c r="T285" s="997"/>
      <c r="U285" s="982"/>
      <c r="V285" s="983"/>
      <c r="W285" s="985"/>
      <c r="X285" s="692"/>
      <c r="Y285" s="693"/>
      <c r="Z285" s="693"/>
      <c r="AA285" s="693"/>
      <c r="AB285" s="693"/>
      <c r="AC285" s="693"/>
      <c r="AD285" s="693"/>
      <c r="AE285" s="693"/>
      <c r="AF285" s="693"/>
      <c r="AG285" s="693"/>
      <c r="AH285" s="693"/>
      <c r="AI285" s="693"/>
      <c r="AJ285" s="693"/>
      <c r="AK285" s="693"/>
    </row>
    <row r="286" spans="1:37" s="694" customFormat="1" ht="12.75" customHeight="1">
      <c r="A286" s="1021"/>
      <c r="B286" s="1022"/>
      <c r="C286" s="983"/>
      <c r="D286" s="986"/>
      <c r="E286" s="996"/>
      <c r="F286" s="997"/>
      <c r="G286" s="997"/>
      <c r="H286" s="997"/>
      <c r="I286" s="997"/>
      <c r="J286" s="997"/>
      <c r="K286" s="997"/>
      <c r="L286" s="450" t="s">
        <v>187</v>
      </c>
      <c r="M286" s="260" t="s">
        <v>184</v>
      </c>
      <c r="N286" s="261">
        <v>3.6999999999999998E-2</v>
      </c>
      <c r="O286" s="261">
        <f>E283*N286</f>
        <v>9.9900000000000003E-2</v>
      </c>
      <c r="P286" s="237">
        <v>122.917</v>
      </c>
      <c r="Q286" s="412">
        <f>N286*P286*$N$11</f>
        <v>5.2415022710799013</v>
      </c>
      <c r="R286" s="997"/>
      <c r="S286" s="997"/>
      <c r="T286" s="997"/>
      <c r="U286" s="982"/>
      <c r="V286" s="983"/>
      <c r="W286" s="986"/>
      <c r="X286" s="692"/>
      <c r="Y286" s="693"/>
      <c r="Z286" s="693"/>
      <c r="AA286" s="693"/>
      <c r="AB286" s="693"/>
      <c r="AC286" s="693"/>
      <c r="AD286" s="693"/>
      <c r="AE286" s="693"/>
      <c r="AF286" s="693"/>
      <c r="AG286" s="693"/>
      <c r="AH286" s="693"/>
      <c r="AI286" s="693"/>
      <c r="AJ286" s="693"/>
      <c r="AK286" s="693"/>
    </row>
    <row r="287" spans="1:37" s="694" customFormat="1" ht="12.75" customHeight="1">
      <c r="A287" s="1000">
        <f>+A283+1</f>
        <v>99</v>
      </c>
      <c r="B287" s="1001" t="s">
        <v>191</v>
      </c>
      <c r="C287" s="965" t="s">
        <v>534</v>
      </c>
      <c r="D287" s="966" t="s">
        <v>326</v>
      </c>
      <c r="E287" s="1003">
        <v>0.39200000000000002</v>
      </c>
      <c r="F287" s="967"/>
      <c r="G287" s="967"/>
      <c r="H287" s="967"/>
      <c r="I287" s="1004"/>
      <c r="J287" s="1004"/>
      <c r="K287" s="1004"/>
      <c r="L287" s="673"/>
      <c r="M287" s="674"/>
      <c r="N287" s="675"/>
      <c r="O287" s="676"/>
      <c r="P287" s="676"/>
      <c r="Q287" s="677"/>
      <c r="R287" s="767">
        <f>F288+I288</f>
        <v>0</v>
      </c>
      <c r="S287" s="999">
        <f>R287+R288</f>
        <v>382.51577889000009</v>
      </c>
      <c r="T287" s="999">
        <f>E287*S287</f>
        <v>149.94618532488005</v>
      </c>
      <c r="U287" s="964">
        <f>R288*E287</f>
        <v>149.94618532488005</v>
      </c>
      <c r="V287" s="965" t="s">
        <v>398</v>
      </c>
      <c r="W287" s="966" t="s">
        <v>326</v>
      </c>
      <c r="X287" s="692">
        <f>+W270*X270</f>
        <v>0</v>
      </c>
      <c r="Y287" s="693"/>
      <c r="Z287" s="693"/>
      <c r="AA287" s="693"/>
      <c r="AB287" s="693"/>
      <c r="AC287" s="693"/>
      <c r="AD287" s="693"/>
      <c r="AE287" s="693"/>
      <c r="AF287" s="693"/>
      <c r="AG287" s="693"/>
      <c r="AH287" s="693"/>
      <c r="AI287" s="693"/>
      <c r="AJ287" s="693"/>
      <c r="AK287" s="693"/>
    </row>
    <row r="288" spans="1:37" s="694" customFormat="1" ht="12.75" customHeight="1">
      <c r="A288" s="1000"/>
      <c r="B288" s="1002"/>
      <c r="C288" s="965"/>
      <c r="D288" s="966"/>
      <c r="E288" s="1003"/>
      <c r="F288" s="967"/>
      <c r="G288" s="967"/>
      <c r="H288" s="967"/>
      <c r="I288" s="967"/>
      <c r="J288" s="967"/>
      <c r="K288" s="967"/>
      <c r="L288" s="682" t="s">
        <v>534</v>
      </c>
      <c r="M288" s="683" t="s">
        <v>326</v>
      </c>
      <c r="N288" s="684">
        <v>1</v>
      </c>
      <c r="O288" s="685">
        <f>E287*N288</f>
        <v>0.39200000000000002</v>
      </c>
      <c r="P288" s="686">
        <v>331.9</v>
      </c>
      <c r="Q288" s="687">
        <f>N288*P288*$N$11</f>
        <v>382.51577889000009</v>
      </c>
      <c r="R288" s="767">
        <f>SUM(Q288:Q288)</f>
        <v>382.51577889000009</v>
      </c>
      <c r="S288" s="999"/>
      <c r="T288" s="999"/>
      <c r="U288" s="964"/>
      <c r="V288" s="965"/>
      <c r="W288" s="966"/>
      <c r="X288" s="692"/>
      <c r="Y288" s="693"/>
      <c r="Z288" s="693"/>
      <c r="AA288" s="693"/>
      <c r="AB288" s="693"/>
      <c r="AC288" s="693"/>
      <c r="AD288" s="693"/>
      <c r="AE288" s="693"/>
      <c r="AF288" s="693"/>
      <c r="AG288" s="693"/>
      <c r="AH288" s="693"/>
      <c r="AI288" s="693"/>
      <c r="AJ288" s="693"/>
      <c r="AK288" s="693"/>
    </row>
    <row r="289" spans="1:50" s="694" customFormat="1" ht="12.75" customHeight="1">
      <c r="A289" s="1000">
        <f>+A287+1</f>
        <v>100</v>
      </c>
      <c r="B289" s="1001" t="s">
        <v>191</v>
      </c>
      <c r="C289" s="965" t="s">
        <v>535</v>
      </c>
      <c r="D289" s="966" t="s">
        <v>326</v>
      </c>
      <c r="E289" s="1003">
        <v>0.39200000000000002</v>
      </c>
      <c r="F289" s="967"/>
      <c r="G289" s="967"/>
      <c r="H289" s="967"/>
      <c r="I289" s="1004"/>
      <c r="J289" s="1004"/>
      <c r="K289" s="1004"/>
      <c r="L289" s="673"/>
      <c r="M289" s="674"/>
      <c r="N289" s="675"/>
      <c r="O289" s="676"/>
      <c r="P289" s="676"/>
      <c r="Q289" s="677"/>
      <c r="R289" s="767">
        <f>F290+I290</f>
        <v>0</v>
      </c>
      <c r="S289" s="999">
        <f>R289+R290</f>
        <v>402.73068326400011</v>
      </c>
      <c r="T289" s="999">
        <f>E289*S289</f>
        <v>157.87042783948806</v>
      </c>
      <c r="U289" s="964">
        <f>R290*E289</f>
        <v>157.87042783948806</v>
      </c>
      <c r="V289" s="965" t="s">
        <v>398</v>
      </c>
      <c r="W289" s="966" t="s">
        <v>326</v>
      </c>
      <c r="X289" s="692">
        <f>+W272*X272</f>
        <v>0</v>
      </c>
      <c r="Y289" s="693"/>
      <c r="Z289" s="693"/>
      <c r="AA289" s="693"/>
      <c r="AB289" s="693"/>
      <c r="AC289" s="693"/>
      <c r="AD289" s="693"/>
      <c r="AE289" s="693"/>
      <c r="AF289" s="693"/>
      <c r="AG289" s="693"/>
      <c r="AH289" s="693"/>
      <c r="AI289" s="693"/>
      <c r="AJ289" s="693"/>
      <c r="AK289" s="693"/>
    </row>
    <row r="290" spans="1:50" s="694" customFormat="1" ht="12.75" customHeight="1">
      <c r="A290" s="1000"/>
      <c r="B290" s="1002"/>
      <c r="C290" s="965"/>
      <c r="D290" s="966"/>
      <c r="E290" s="1003"/>
      <c r="F290" s="967"/>
      <c r="G290" s="967"/>
      <c r="H290" s="967"/>
      <c r="I290" s="967"/>
      <c r="J290" s="967"/>
      <c r="K290" s="967"/>
      <c r="L290" s="682" t="s">
        <v>535</v>
      </c>
      <c r="M290" s="683" t="s">
        <v>326</v>
      </c>
      <c r="N290" s="684">
        <v>1</v>
      </c>
      <c r="O290" s="685">
        <f>E289*N290</f>
        <v>0.39200000000000002</v>
      </c>
      <c r="P290" s="686">
        <v>349.44</v>
      </c>
      <c r="Q290" s="687">
        <f>N290*P290*$N$11</f>
        <v>402.73068326400011</v>
      </c>
      <c r="R290" s="767">
        <f>SUM(Q290:Q290)</f>
        <v>402.73068326400011</v>
      </c>
      <c r="S290" s="999"/>
      <c r="T290" s="999"/>
      <c r="U290" s="964"/>
      <c r="V290" s="965"/>
      <c r="W290" s="966"/>
      <c r="X290" s="692"/>
      <c r="Y290" s="693"/>
      <c r="Z290" s="693"/>
      <c r="AA290" s="693"/>
      <c r="AB290" s="693"/>
      <c r="AC290" s="693"/>
      <c r="AD290" s="693"/>
      <c r="AE290" s="693"/>
      <c r="AF290" s="693"/>
      <c r="AG290" s="693"/>
      <c r="AH290" s="693"/>
      <c r="AI290" s="693"/>
      <c r="AJ290" s="693"/>
      <c r="AK290" s="693"/>
    </row>
    <row r="291" spans="1:50" s="694" customFormat="1" ht="12.75" customHeight="1">
      <c r="A291" s="1000">
        <f>+A289+1</f>
        <v>101</v>
      </c>
      <c r="B291" s="1001" t="s">
        <v>191</v>
      </c>
      <c r="C291" s="965" t="s">
        <v>392</v>
      </c>
      <c r="D291" s="966" t="s">
        <v>326</v>
      </c>
      <c r="E291" s="1003">
        <v>8.5000000000000006E-2</v>
      </c>
      <c r="F291" s="967"/>
      <c r="G291" s="967"/>
      <c r="H291" s="967"/>
      <c r="I291" s="1004"/>
      <c r="J291" s="1004"/>
      <c r="K291" s="1004"/>
      <c r="L291" s="673"/>
      <c r="M291" s="674"/>
      <c r="N291" s="675"/>
      <c r="O291" s="676"/>
      <c r="P291" s="676"/>
      <c r="Q291" s="677"/>
      <c r="R291" s="767">
        <f>F292+I292</f>
        <v>0</v>
      </c>
      <c r="S291" s="999">
        <f>R291+R292</f>
        <v>409.7793922236001</v>
      </c>
      <c r="T291" s="999">
        <f>E291*S291</f>
        <v>34.831248339006009</v>
      </c>
      <c r="U291" s="964">
        <f>R292*E291</f>
        <v>34.831248339006009</v>
      </c>
      <c r="V291" s="965" t="s">
        <v>392</v>
      </c>
      <c r="W291" s="966" t="s">
        <v>326</v>
      </c>
      <c r="X291" s="692">
        <f>+W274*X274</f>
        <v>0</v>
      </c>
      <c r="Y291" s="693"/>
      <c r="Z291" s="693"/>
      <c r="AA291" s="693"/>
      <c r="AB291" s="693"/>
      <c r="AC291" s="693"/>
      <c r="AD291" s="693"/>
      <c r="AE291" s="693"/>
      <c r="AF291" s="693"/>
      <c r="AG291" s="693"/>
      <c r="AH291" s="693"/>
      <c r="AI291" s="693"/>
      <c r="AJ291" s="693"/>
      <c r="AK291" s="693"/>
    </row>
    <row r="292" spans="1:50" s="694" customFormat="1" ht="12.75" customHeight="1">
      <c r="A292" s="1000"/>
      <c r="B292" s="1002"/>
      <c r="C292" s="965"/>
      <c r="D292" s="966"/>
      <c r="E292" s="1003"/>
      <c r="F292" s="967"/>
      <c r="G292" s="967"/>
      <c r="H292" s="967"/>
      <c r="I292" s="967"/>
      <c r="J292" s="967"/>
      <c r="K292" s="967"/>
      <c r="L292" s="682" t="s">
        <v>392</v>
      </c>
      <c r="M292" s="683" t="s">
        <v>326</v>
      </c>
      <c r="N292" s="684">
        <v>1</v>
      </c>
      <c r="O292" s="685">
        <f>E291*N292</f>
        <v>8.5000000000000006E-2</v>
      </c>
      <c r="P292" s="686">
        <v>355.55599999999998</v>
      </c>
      <c r="Q292" s="687">
        <f>N292*P292*$N$11</f>
        <v>409.7793922236001</v>
      </c>
      <c r="R292" s="767">
        <f>SUM(Q292:Q292)</f>
        <v>409.7793922236001</v>
      </c>
      <c r="S292" s="999"/>
      <c r="T292" s="999"/>
      <c r="U292" s="964"/>
      <c r="V292" s="965"/>
      <c r="W292" s="966"/>
      <c r="X292" s="692"/>
      <c r="Y292" s="693"/>
      <c r="Z292" s="693"/>
      <c r="AA292" s="693"/>
      <c r="AB292" s="693"/>
      <c r="AC292" s="693"/>
      <c r="AD292" s="693"/>
      <c r="AE292" s="693"/>
      <c r="AF292" s="693"/>
      <c r="AG292" s="693"/>
      <c r="AH292" s="693"/>
      <c r="AI292" s="693"/>
      <c r="AJ292" s="693"/>
      <c r="AK292" s="693"/>
    </row>
    <row r="293" spans="1:50" s="155" customFormat="1" ht="12.75" customHeight="1">
      <c r="A293" s="621"/>
      <c r="B293" s="827"/>
      <c r="C293" s="373" t="s">
        <v>117</v>
      </c>
      <c r="D293" s="374"/>
      <c r="E293" s="375"/>
      <c r="F293" s="380"/>
      <c r="G293" s="381"/>
      <c r="H293" s="380"/>
      <c r="I293" s="380"/>
      <c r="J293" s="381"/>
      <c r="K293" s="380"/>
      <c r="L293" s="585"/>
      <c r="M293" s="379"/>
      <c r="N293" s="380"/>
      <c r="O293" s="381"/>
      <c r="P293" s="380"/>
      <c r="Q293" s="381"/>
      <c r="R293" s="381"/>
      <c r="S293" s="381"/>
      <c r="T293" s="383">
        <f>SUM(T21:T292)-$T$298</f>
        <v>5166.1294971094876</v>
      </c>
      <c r="U293" s="383">
        <f>SUM(U21:U292)-$T$298</f>
        <v>4235.58888660497</v>
      </c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8"/>
      <c r="AK293" s="158"/>
      <c r="AL293" s="158"/>
      <c r="AM293" s="158"/>
      <c r="AN293" s="158"/>
      <c r="AO293" s="158"/>
      <c r="AP293" s="158"/>
      <c r="AQ293" s="158"/>
      <c r="AR293" s="158"/>
      <c r="AS293" s="158"/>
      <c r="AT293" s="158"/>
      <c r="AU293" s="158"/>
      <c r="AV293" s="158"/>
      <c r="AW293" s="158"/>
      <c r="AX293" s="158"/>
    </row>
    <row r="294" spans="1:50" s="155" customFormat="1" ht="12.75" customHeight="1">
      <c r="A294" s="622"/>
      <c r="B294" s="828"/>
      <c r="C294" s="210" t="s">
        <v>118</v>
      </c>
      <c r="D294" s="211">
        <v>0.13300000000000001</v>
      </c>
      <c r="E294" s="212"/>
      <c r="F294" s="214"/>
      <c r="G294" s="215"/>
      <c r="H294" s="214"/>
      <c r="I294" s="214"/>
      <c r="J294" s="215"/>
      <c r="K294" s="214"/>
      <c r="L294" s="586"/>
      <c r="M294" s="213"/>
      <c r="N294" s="214"/>
      <c r="O294" s="215"/>
      <c r="P294" s="214"/>
      <c r="Q294" s="215"/>
      <c r="R294" s="215"/>
      <c r="S294" s="215"/>
      <c r="T294" s="216">
        <f>D294*T293</f>
        <v>687.09522311556191</v>
      </c>
      <c r="U294" s="598">
        <f>+U293*D294</f>
        <v>563.33332191846102</v>
      </c>
      <c r="V294" s="158"/>
      <c r="W294" s="158"/>
      <c r="X294" s="158"/>
      <c r="Y294" s="158"/>
      <c r="Z294" s="158"/>
      <c r="AA294" s="158"/>
      <c r="AB294" s="158"/>
      <c r="AC294" s="158"/>
      <c r="AD294" s="158"/>
      <c r="AE294" s="158"/>
      <c r="AF294" s="158"/>
      <c r="AG294" s="158"/>
      <c r="AH294" s="158"/>
      <c r="AI294" s="158"/>
      <c r="AJ294" s="158"/>
      <c r="AK294" s="158"/>
      <c r="AL294" s="158"/>
      <c r="AM294" s="158"/>
      <c r="AN294" s="158"/>
      <c r="AO294" s="158"/>
      <c r="AP294" s="158"/>
      <c r="AQ294" s="158"/>
      <c r="AR294" s="158"/>
      <c r="AS294" s="158"/>
      <c r="AT294" s="158"/>
      <c r="AU294" s="158"/>
      <c r="AV294" s="158"/>
      <c r="AW294" s="158"/>
      <c r="AX294" s="158"/>
    </row>
    <row r="295" spans="1:50" s="157" customFormat="1" ht="12.75" customHeight="1">
      <c r="A295" s="622"/>
      <c r="B295" s="828"/>
      <c r="C295" s="210" t="s">
        <v>117</v>
      </c>
      <c r="D295" s="211"/>
      <c r="E295" s="212"/>
      <c r="F295" s="214"/>
      <c r="G295" s="215"/>
      <c r="H295" s="214"/>
      <c r="I295" s="214"/>
      <c r="J295" s="215"/>
      <c r="K295" s="214"/>
      <c r="L295" s="586"/>
      <c r="M295" s="213"/>
      <c r="N295" s="214"/>
      <c r="O295" s="215"/>
      <c r="P295" s="214"/>
      <c r="Q295" s="215"/>
      <c r="R295" s="215"/>
      <c r="S295" s="215"/>
      <c r="T295" s="216">
        <f>SUM(T293:T294)</f>
        <v>5853.2247202250492</v>
      </c>
      <c r="U295" s="598">
        <f>SUM(U293:U294)</f>
        <v>4798.9222085234305</v>
      </c>
      <c r="V295" s="158"/>
      <c r="W295" s="158"/>
      <c r="X295" s="158"/>
      <c r="Y295" s="158"/>
      <c r="Z295" s="158"/>
      <c r="AA295" s="158"/>
      <c r="AB295" s="158"/>
      <c r="AC295" s="158"/>
      <c r="AD295" s="158"/>
      <c r="AE295" s="158"/>
      <c r="AF295" s="158"/>
      <c r="AG295" s="158"/>
      <c r="AH295" s="158"/>
      <c r="AI295" s="158"/>
      <c r="AJ295" s="158"/>
      <c r="AK295" s="158"/>
      <c r="AL295" s="158"/>
      <c r="AM295" s="158"/>
      <c r="AN295" s="158"/>
      <c r="AO295" s="158"/>
      <c r="AP295" s="158"/>
      <c r="AQ295" s="158"/>
      <c r="AR295" s="158"/>
      <c r="AS295" s="158"/>
      <c r="AT295" s="158"/>
      <c r="AU295" s="158"/>
      <c r="AV295" s="158"/>
      <c r="AW295" s="158"/>
      <c r="AX295" s="158"/>
    </row>
    <row r="296" spans="1:50" s="157" customFormat="1" ht="12.75" customHeight="1">
      <c r="A296" s="622"/>
      <c r="B296" s="828"/>
      <c r="C296" s="210" t="s">
        <v>119</v>
      </c>
      <c r="D296" s="217">
        <v>0.11</v>
      </c>
      <c r="E296" s="212"/>
      <c r="F296" s="214"/>
      <c r="G296" s="215"/>
      <c r="H296" s="214"/>
      <c r="I296" s="214"/>
      <c r="J296" s="215"/>
      <c r="K296" s="214"/>
      <c r="L296" s="586"/>
      <c r="M296" s="213"/>
      <c r="N296" s="214"/>
      <c r="O296" s="215"/>
      <c r="P296" s="214"/>
      <c r="Q296" s="215"/>
      <c r="R296" s="215"/>
      <c r="S296" s="215"/>
      <c r="T296" s="216">
        <f>D296*T295</f>
        <v>643.8547192247554</v>
      </c>
      <c r="U296" s="598">
        <f>+U295*D296</f>
        <v>527.88144293757739</v>
      </c>
      <c r="V296" s="158"/>
      <c r="W296" s="158"/>
      <c r="X296" s="158"/>
      <c r="Y296" s="158"/>
      <c r="Z296" s="158"/>
      <c r="AA296" s="158"/>
      <c r="AB296" s="158"/>
      <c r="AC296" s="158"/>
      <c r="AD296" s="158"/>
      <c r="AE296" s="158"/>
      <c r="AF296" s="158"/>
      <c r="AG296" s="158"/>
      <c r="AH296" s="158"/>
      <c r="AI296" s="158"/>
      <c r="AJ296" s="158"/>
      <c r="AK296" s="158"/>
      <c r="AL296" s="158"/>
      <c r="AM296" s="158"/>
      <c r="AN296" s="158"/>
      <c r="AO296" s="158"/>
      <c r="AP296" s="158"/>
      <c r="AQ296" s="158"/>
      <c r="AR296" s="158"/>
      <c r="AS296" s="158"/>
      <c r="AT296" s="158"/>
      <c r="AU296" s="158"/>
      <c r="AV296" s="158"/>
      <c r="AW296" s="158"/>
      <c r="AX296" s="158"/>
    </row>
    <row r="297" spans="1:50" s="157" customFormat="1" ht="12.75" customHeight="1">
      <c r="A297" s="622"/>
      <c r="B297" s="828"/>
      <c r="C297" s="210" t="s">
        <v>117</v>
      </c>
      <c r="D297" s="218"/>
      <c r="E297" s="212"/>
      <c r="F297" s="214"/>
      <c r="G297" s="215"/>
      <c r="H297" s="214"/>
      <c r="I297" s="214"/>
      <c r="J297" s="215"/>
      <c r="K297" s="214"/>
      <c r="L297" s="586"/>
      <c r="M297" s="213"/>
      <c r="N297" s="214"/>
      <c r="O297" s="215"/>
      <c r="P297" s="214"/>
      <c r="Q297" s="215"/>
      <c r="R297" s="215"/>
      <c r="S297" s="215"/>
      <c r="T297" s="216">
        <f>T295+T296</f>
        <v>6497.0794394498043</v>
      </c>
      <c r="U297" s="598">
        <f>U295+U296</f>
        <v>5326.8036514610076</v>
      </c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  <c r="AN297" s="158"/>
      <c r="AO297" s="158"/>
      <c r="AP297" s="158"/>
      <c r="AQ297" s="158"/>
      <c r="AR297" s="158"/>
      <c r="AS297" s="158"/>
      <c r="AT297" s="158"/>
      <c r="AU297" s="158"/>
      <c r="AV297" s="158"/>
      <c r="AW297" s="158"/>
      <c r="AX297" s="158"/>
    </row>
    <row r="298" spans="1:50" s="157" customFormat="1" ht="12.75" customHeight="1">
      <c r="A298" s="622"/>
      <c r="B298" s="828"/>
      <c r="C298" s="210" t="s">
        <v>120</v>
      </c>
      <c r="D298" s="218"/>
      <c r="E298" s="212"/>
      <c r="F298" s="214"/>
      <c r="G298" s="215"/>
      <c r="H298" s="214"/>
      <c r="I298" s="214"/>
      <c r="J298" s="215"/>
      <c r="K298" s="214"/>
      <c r="L298" s="586"/>
      <c r="M298" s="213"/>
      <c r="N298" s="214"/>
      <c r="O298" s="215"/>
      <c r="P298" s="214"/>
      <c r="Q298" s="215"/>
      <c r="R298" s="215"/>
      <c r="S298" s="215"/>
      <c r="T298" s="216"/>
      <c r="U298" s="598"/>
      <c r="V298" s="158"/>
      <c r="W298" s="158"/>
      <c r="X298" s="158">
        <f>2500/50</f>
        <v>50</v>
      </c>
      <c r="Y298" s="158">
        <v>1000</v>
      </c>
      <c r="Z298" s="158"/>
      <c r="AA298" s="158"/>
      <c r="AB298" s="158"/>
      <c r="AC298" s="158"/>
      <c r="AD298" s="158"/>
      <c r="AE298" s="158"/>
      <c r="AF298" s="158"/>
      <c r="AG298" s="158"/>
      <c r="AH298" s="158"/>
      <c r="AI298" s="158"/>
      <c r="AJ298" s="158"/>
      <c r="AK298" s="158"/>
      <c r="AL298" s="158"/>
      <c r="AM298" s="158"/>
      <c r="AN298" s="158"/>
      <c r="AO298" s="158"/>
      <c r="AP298" s="158"/>
      <c r="AQ298" s="158"/>
      <c r="AR298" s="158"/>
      <c r="AS298" s="158"/>
      <c r="AT298" s="158"/>
      <c r="AU298" s="158"/>
      <c r="AV298" s="158"/>
      <c r="AW298" s="158"/>
      <c r="AX298" s="158"/>
    </row>
    <row r="299" spans="1:50" s="157" customFormat="1" ht="12.75" customHeight="1" thickBot="1">
      <c r="A299" s="622"/>
      <c r="B299" s="828"/>
      <c r="C299" s="210" t="s">
        <v>117</v>
      </c>
      <c r="D299" s="218"/>
      <c r="E299" s="212"/>
      <c r="F299" s="214"/>
      <c r="G299" s="215"/>
      <c r="H299" s="214"/>
      <c r="I299" s="214"/>
      <c r="J299" s="215"/>
      <c r="K299" s="214"/>
      <c r="L299" s="586"/>
      <c r="M299" s="213"/>
      <c r="N299" s="214"/>
      <c r="O299" s="215"/>
      <c r="P299" s="214"/>
      <c r="Q299" s="215"/>
      <c r="R299" s="215"/>
      <c r="S299" s="215"/>
      <c r="T299" s="216">
        <f>+T298+T297</f>
        <v>6497.0794394498043</v>
      </c>
      <c r="U299" s="598">
        <f>+U297</f>
        <v>5326.8036514610076</v>
      </c>
      <c r="V299" s="158"/>
      <c r="W299" s="158"/>
      <c r="X299" s="158"/>
      <c r="Y299" s="158"/>
      <c r="Z299" s="158"/>
      <c r="AA299" s="158"/>
      <c r="AB299" s="158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  <c r="AN299" s="158"/>
      <c r="AO299" s="158"/>
      <c r="AP299" s="158"/>
      <c r="AQ299" s="158"/>
      <c r="AR299" s="158"/>
      <c r="AS299" s="158"/>
      <c r="AT299" s="158"/>
      <c r="AU299" s="158"/>
      <c r="AV299" s="158"/>
      <c r="AW299" s="158"/>
      <c r="AX299" s="158"/>
    </row>
    <row r="300" spans="1:50" s="157" customFormat="1" ht="13.5" customHeight="1" thickTop="1" thickBot="1">
      <c r="A300" s="623"/>
      <c r="B300" s="829"/>
      <c r="C300" s="219" t="s">
        <v>121</v>
      </c>
      <c r="D300" s="592"/>
      <c r="E300" s="593"/>
      <c r="F300" s="220"/>
      <c r="G300" s="221"/>
      <c r="H300" s="220"/>
      <c r="I300" s="220"/>
      <c r="J300" s="221"/>
      <c r="K300" s="220"/>
      <c r="L300" s="587"/>
      <c r="M300" s="599"/>
      <c r="N300" s="234"/>
      <c r="O300" s="600"/>
      <c r="P300" s="234"/>
      <c r="Q300" s="600"/>
      <c r="R300" s="600"/>
      <c r="S300" s="600"/>
      <c r="T300" s="238">
        <f>+T299</f>
        <v>6497.0794394498043</v>
      </c>
      <c r="U300" s="601">
        <f>+U299</f>
        <v>5326.8036514610076</v>
      </c>
      <c r="V300" s="158"/>
      <c r="W300" s="158"/>
      <c r="X300" s="158">
        <f>50*1.5</f>
        <v>75</v>
      </c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</row>
    <row r="301" spans="1:50" s="157" customFormat="1" ht="7.5" customHeight="1" thickTop="1">
      <c r="A301" s="624"/>
      <c r="B301" s="159"/>
      <c r="C301" s="161"/>
      <c r="D301" s="162"/>
      <c r="E301" s="163"/>
      <c r="F301" s="165"/>
      <c r="G301" s="163"/>
      <c r="H301" s="165"/>
      <c r="I301" s="165"/>
      <c r="J301" s="163"/>
      <c r="K301" s="165"/>
      <c r="L301" s="588"/>
      <c r="M301" s="164"/>
      <c r="N301" s="165"/>
      <c r="O301" s="163"/>
      <c r="P301" s="165"/>
      <c r="Q301" s="163"/>
      <c r="R301" s="163"/>
      <c r="S301" s="163"/>
      <c r="T301" s="163"/>
      <c r="U301" s="163"/>
      <c r="V301" s="158"/>
      <c r="W301" s="158"/>
      <c r="X301" s="158"/>
      <c r="Y301" s="158"/>
      <c r="Z301" s="158"/>
      <c r="AA301" s="158"/>
      <c r="AB301" s="158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  <c r="AN301" s="158"/>
      <c r="AO301" s="158"/>
      <c r="AP301" s="158"/>
      <c r="AQ301" s="158"/>
      <c r="AR301" s="158"/>
      <c r="AS301" s="158"/>
      <c r="AT301" s="158"/>
      <c r="AU301" s="158"/>
      <c r="AV301" s="158"/>
      <c r="AW301" s="158"/>
      <c r="AX301" s="158"/>
    </row>
    <row r="302" spans="1:50" s="157" customFormat="1" ht="16.5" customHeight="1">
      <c r="A302" s="1397" t="s">
        <v>146</v>
      </c>
      <c r="B302" s="1397"/>
      <c r="C302" s="1397"/>
      <c r="D302" s="1397"/>
      <c r="E302" s="1397"/>
      <c r="F302" s="1397"/>
      <c r="G302" s="1397"/>
      <c r="H302" s="1397"/>
      <c r="I302" s="1397"/>
      <c r="J302" s="1397"/>
      <c r="K302" s="1397"/>
      <c r="L302" s="1397"/>
      <c r="M302" s="1397"/>
      <c r="N302" s="1397"/>
      <c r="O302" s="1397"/>
      <c r="P302" s="1397"/>
      <c r="Q302" s="1397"/>
      <c r="R302" s="1397"/>
      <c r="S302" s="1397"/>
      <c r="T302" s="1397"/>
      <c r="U302" s="1397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  <c r="AS302" s="158"/>
      <c r="AT302" s="158"/>
      <c r="AU302" s="158"/>
      <c r="AV302" s="158"/>
      <c r="AW302" s="158"/>
      <c r="AX302" s="158"/>
    </row>
  </sheetData>
  <mergeCells count="1514">
    <mergeCell ref="A72:A73"/>
    <mergeCell ref="B72:B73"/>
    <mergeCell ref="C72:C73"/>
    <mergeCell ref="D72:D73"/>
    <mergeCell ref="E72:E73"/>
    <mergeCell ref="F72:H72"/>
    <mergeCell ref="I72:K72"/>
    <mergeCell ref="S72:S73"/>
    <mergeCell ref="T72:T73"/>
    <mergeCell ref="U72:U73"/>
    <mergeCell ref="F73:H73"/>
    <mergeCell ref="I73:K73"/>
    <mergeCell ref="A74:A78"/>
    <mergeCell ref="B74:B78"/>
    <mergeCell ref="C74:C78"/>
    <mergeCell ref="D74:D78"/>
    <mergeCell ref="E74:E78"/>
    <mergeCell ref="F74:H74"/>
    <mergeCell ref="I74:K74"/>
    <mergeCell ref="S74:S78"/>
    <mergeCell ref="T74:T78"/>
    <mergeCell ref="B70:B71"/>
    <mergeCell ref="C70:C71"/>
    <mergeCell ref="D70:D71"/>
    <mergeCell ref="E70:E71"/>
    <mergeCell ref="S70:S71"/>
    <mergeCell ref="T70:T71"/>
    <mergeCell ref="U70:U71"/>
    <mergeCell ref="V74:V78"/>
    <mergeCell ref="W74:W78"/>
    <mergeCell ref="F75:H78"/>
    <mergeCell ref="I75:K78"/>
    <mergeCell ref="R75:R78"/>
    <mergeCell ref="V70:V71"/>
    <mergeCell ref="W70:W71"/>
    <mergeCell ref="V72:V73"/>
    <mergeCell ref="W72:W73"/>
    <mergeCell ref="F71:H71"/>
    <mergeCell ref="I71:K71"/>
    <mergeCell ref="F70:H70"/>
    <mergeCell ref="I70:K70"/>
    <mergeCell ref="V64:V65"/>
    <mergeCell ref="W64:W65"/>
    <mergeCell ref="F65:H65"/>
    <mergeCell ref="I65:K65"/>
    <mergeCell ref="A66:A69"/>
    <mergeCell ref="B66:B69"/>
    <mergeCell ref="C66:C69"/>
    <mergeCell ref="D66:D69"/>
    <mergeCell ref="E66:E69"/>
    <mergeCell ref="F66:H66"/>
    <mergeCell ref="I66:K66"/>
    <mergeCell ref="S66:S69"/>
    <mergeCell ref="T66:T69"/>
    <mergeCell ref="U66:U69"/>
    <mergeCell ref="V66:V69"/>
    <mergeCell ref="W66:W69"/>
    <mergeCell ref="F67:H69"/>
    <mergeCell ref="I67:K69"/>
    <mergeCell ref="R67:R69"/>
    <mergeCell ref="A64:A65"/>
    <mergeCell ref="B64:B65"/>
    <mergeCell ref="C64:C65"/>
    <mergeCell ref="D64:D65"/>
    <mergeCell ref="E64:E65"/>
    <mergeCell ref="F64:H64"/>
    <mergeCell ref="I64:K64"/>
    <mergeCell ref="S64:S65"/>
    <mergeCell ref="T64:T65"/>
    <mergeCell ref="U64:U65"/>
    <mergeCell ref="A62:A63"/>
    <mergeCell ref="B62:B63"/>
    <mergeCell ref="C62:C63"/>
    <mergeCell ref="D62:D63"/>
    <mergeCell ref="E62:E63"/>
    <mergeCell ref="F62:H62"/>
    <mergeCell ref="I62:K62"/>
    <mergeCell ref="S62:S63"/>
    <mergeCell ref="T62:T63"/>
    <mergeCell ref="U62:U63"/>
    <mergeCell ref="V62:V63"/>
    <mergeCell ref="W62:W63"/>
    <mergeCell ref="F63:H63"/>
    <mergeCell ref="I63:K63"/>
    <mergeCell ref="U58:U59"/>
    <mergeCell ref="F59:H59"/>
    <mergeCell ref="I59:K59"/>
    <mergeCell ref="T40:T45"/>
    <mergeCell ref="U40:U45"/>
    <mergeCell ref="F41:H45"/>
    <mergeCell ref="I41:K45"/>
    <mergeCell ref="R41:R45"/>
    <mergeCell ref="F40:H40"/>
    <mergeCell ref="V48:V49"/>
    <mergeCell ref="W48:W49"/>
    <mergeCell ref="V50:V51"/>
    <mergeCell ref="W50:W51"/>
    <mergeCell ref="V56:V57"/>
    <mergeCell ref="W56:W57"/>
    <mergeCell ref="V58:V59"/>
    <mergeCell ref="W58:W59"/>
    <mergeCell ref="V52:V55"/>
    <mergeCell ref="W52:W55"/>
    <mergeCell ref="V60:V61"/>
    <mergeCell ref="W60:W61"/>
    <mergeCell ref="U52:U55"/>
    <mergeCell ref="F53:H55"/>
    <mergeCell ref="I53:K55"/>
    <mergeCell ref="V30:V31"/>
    <mergeCell ref="W30:W31"/>
    <mergeCell ref="A32:A35"/>
    <mergeCell ref="B32:B35"/>
    <mergeCell ref="C32:C35"/>
    <mergeCell ref="D32:D35"/>
    <mergeCell ref="E32:E35"/>
    <mergeCell ref="S32:S35"/>
    <mergeCell ref="T32:T35"/>
    <mergeCell ref="U32:U35"/>
    <mergeCell ref="V32:V35"/>
    <mergeCell ref="W32:W35"/>
    <mergeCell ref="A46:A47"/>
    <mergeCell ref="B46:B47"/>
    <mergeCell ref="C46:C47"/>
    <mergeCell ref="D46:D47"/>
    <mergeCell ref="E46:E47"/>
    <mergeCell ref="F46:H46"/>
    <mergeCell ref="I46:K46"/>
    <mergeCell ref="S46:S47"/>
    <mergeCell ref="T46:T47"/>
    <mergeCell ref="U46:U47"/>
    <mergeCell ref="F47:H47"/>
    <mergeCell ref="I47:K47"/>
    <mergeCell ref="V36:V37"/>
    <mergeCell ref="W36:W37"/>
    <mergeCell ref="V38:V39"/>
    <mergeCell ref="W38:W39"/>
    <mergeCell ref="V40:V45"/>
    <mergeCell ref="W40:W45"/>
    <mergeCell ref="V46:V47"/>
    <mergeCell ref="W46:W47"/>
    <mergeCell ref="S252:S253"/>
    <mergeCell ref="T252:T253"/>
    <mergeCell ref="U252:U253"/>
    <mergeCell ref="F258:H258"/>
    <mergeCell ref="I258:K258"/>
    <mergeCell ref="F253:H253"/>
    <mergeCell ref="I253:K253"/>
    <mergeCell ref="A250:A251"/>
    <mergeCell ref="B250:B251"/>
    <mergeCell ref="C250:C251"/>
    <mergeCell ref="D250:D251"/>
    <mergeCell ref="E250:E251"/>
    <mergeCell ref="F250:H250"/>
    <mergeCell ref="I250:K250"/>
    <mergeCell ref="F264:H264"/>
    <mergeCell ref="I264:K264"/>
    <mergeCell ref="A23:A24"/>
    <mergeCell ref="B23:B24"/>
    <mergeCell ref="C23:C24"/>
    <mergeCell ref="D23:D24"/>
    <mergeCell ref="E23:E24"/>
    <mergeCell ref="F23:H23"/>
    <mergeCell ref="I23:K23"/>
    <mergeCell ref="R23:R24"/>
    <mergeCell ref="S23:S24"/>
    <mergeCell ref="T23:T24"/>
    <mergeCell ref="U23:U24"/>
    <mergeCell ref="F24:H24"/>
    <mergeCell ref="I24:K24"/>
    <mergeCell ref="A40:A45"/>
    <mergeCell ref="B40:B45"/>
    <mergeCell ref="C40:C45"/>
    <mergeCell ref="F240:H240"/>
    <mergeCell ref="I240:K240"/>
    <mergeCell ref="F241:H241"/>
    <mergeCell ref="I241:K241"/>
    <mergeCell ref="F255:H255"/>
    <mergeCell ref="I255:K255"/>
    <mergeCell ref="F247:H247"/>
    <mergeCell ref="I247:K247"/>
    <mergeCell ref="F265:H265"/>
    <mergeCell ref="I265:K265"/>
    <mergeCell ref="F252:H252"/>
    <mergeCell ref="I252:K252"/>
    <mergeCell ref="A252:A253"/>
    <mergeCell ref="B252:B253"/>
    <mergeCell ref="C252:C253"/>
    <mergeCell ref="D252:D253"/>
    <mergeCell ref="E252:E253"/>
    <mergeCell ref="U245:U246"/>
    <mergeCell ref="A245:A246"/>
    <mergeCell ref="B245:B246"/>
    <mergeCell ref="C245:C246"/>
    <mergeCell ref="D245:D246"/>
    <mergeCell ref="E245:E246"/>
    <mergeCell ref="S245:S246"/>
    <mergeCell ref="T245:T246"/>
    <mergeCell ref="F220:H220"/>
    <mergeCell ref="I220:K220"/>
    <mergeCell ref="F221:H221"/>
    <mergeCell ref="I221:K221"/>
    <mergeCell ref="F222:H222"/>
    <mergeCell ref="I222:K222"/>
    <mergeCell ref="A222:A223"/>
    <mergeCell ref="B222:B223"/>
    <mergeCell ref="C222:C223"/>
    <mergeCell ref="D222:D223"/>
    <mergeCell ref="F224:H224"/>
    <mergeCell ref="I224:K224"/>
    <mergeCell ref="A224:A226"/>
    <mergeCell ref="B224:B226"/>
    <mergeCell ref="C224:C226"/>
    <mergeCell ref="D224:D226"/>
    <mergeCell ref="E224:E226"/>
    <mergeCell ref="S224:S226"/>
    <mergeCell ref="F239:H239"/>
    <mergeCell ref="I239:K239"/>
    <mergeCell ref="E222:E223"/>
    <mergeCell ref="S222:S223"/>
    <mergeCell ref="T222:T223"/>
    <mergeCell ref="U222:U223"/>
    <mergeCell ref="A70:A71"/>
    <mergeCell ref="F207:H207"/>
    <mergeCell ref="I207:K207"/>
    <mergeCell ref="F206:H206"/>
    <mergeCell ref="I206:K206"/>
    <mergeCell ref="F215:H215"/>
    <mergeCell ref="I215:K215"/>
    <mergeCell ref="U213:U214"/>
    <mergeCell ref="F214:H214"/>
    <mergeCell ref="I214:K214"/>
    <mergeCell ref="A213:A214"/>
    <mergeCell ref="B213:B214"/>
    <mergeCell ref="C213:C214"/>
    <mergeCell ref="D213:D214"/>
    <mergeCell ref="E213:E214"/>
    <mergeCell ref="F213:H213"/>
    <mergeCell ref="I213:K213"/>
    <mergeCell ref="S213:S214"/>
    <mergeCell ref="T213:T214"/>
    <mergeCell ref="U74:U78"/>
    <mergeCell ref="C79:C81"/>
    <mergeCell ref="D79:D81"/>
    <mergeCell ref="E79:E81"/>
    <mergeCell ref="F79:H79"/>
    <mergeCell ref="I79:K79"/>
    <mergeCell ref="S79:S81"/>
    <mergeCell ref="T79:T81"/>
    <mergeCell ref="U79:U81"/>
    <mergeCell ref="A84:A86"/>
    <mergeCell ref="B84:B86"/>
    <mergeCell ref="C84:C86"/>
    <mergeCell ref="D84:D86"/>
    <mergeCell ref="I57:K57"/>
    <mergeCell ref="A52:A55"/>
    <mergeCell ref="B52:B55"/>
    <mergeCell ref="C52:C55"/>
    <mergeCell ref="D52:D55"/>
    <mergeCell ref="E52:E55"/>
    <mergeCell ref="F52:H52"/>
    <mergeCell ref="I52:K52"/>
    <mergeCell ref="S52:S55"/>
    <mergeCell ref="T52:T55"/>
    <mergeCell ref="A58:A59"/>
    <mergeCell ref="B58:B59"/>
    <mergeCell ref="C58:C59"/>
    <mergeCell ref="D58:D59"/>
    <mergeCell ref="E58:E59"/>
    <mergeCell ref="F58:H58"/>
    <mergeCell ref="I58:K58"/>
    <mergeCell ref="S58:S59"/>
    <mergeCell ref="T58:T59"/>
    <mergeCell ref="U60:U61"/>
    <mergeCell ref="F61:H61"/>
    <mergeCell ref="I61:K61"/>
    <mergeCell ref="A60:A61"/>
    <mergeCell ref="B60:B61"/>
    <mergeCell ref="C60:C61"/>
    <mergeCell ref="D60:D61"/>
    <mergeCell ref="E60:E61"/>
    <mergeCell ref="F60:H60"/>
    <mergeCell ref="I60:K60"/>
    <mergeCell ref="S60:S61"/>
    <mergeCell ref="T60:T61"/>
    <mergeCell ref="T30:T31"/>
    <mergeCell ref="U30:U31"/>
    <mergeCell ref="F31:H31"/>
    <mergeCell ref="I31:K31"/>
    <mergeCell ref="A30:A31"/>
    <mergeCell ref="B30:B31"/>
    <mergeCell ref="C30:C31"/>
    <mergeCell ref="D30:D31"/>
    <mergeCell ref="R53:R55"/>
    <mergeCell ref="A56:A57"/>
    <mergeCell ref="B56:B57"/>
    <mergeCell ref="C56:C57"/>
    <mergeCell ref="D56:D57"/>
    <mergeCell ref="E56:E57"/>
    <mergeCell ref="F56:H56"/>
    <mergeCell ref="I56:K56"/>
    <mergeCell ref="S56:S57"/>
    <mergeCell ref="T56:T57"/>
    <mergeCell ref="U56:U57"/>
    <mergeCell ref="F57:H57"/>
    <mergeCell ref="U48:U49"/>
    <mergeCell ref="F49:H49"/>
    <mergeCell ref="I49:K49"/>
    <mergeCell ref="A50:A51"/>
    <mergeCell ref="B50:B51"/>
    <mergeCell ref="C50:C51"/>
    <mergeCell ref="D50:D51"/>
    <mergeCell ref="E50:E51"/>
    <mergeCell ref="F50:H50"/>
    <mergeCell ref="I50:K50"/>
    <mergeCell ref="S50:S51"/>
    <mergeCell ref="T50:T51"/>
    <mergeCell ref="U50:U51"/>
    <mergeCell ref="F51:H51"/>
    <mergeCell ref="I51:K51"/>
    <mergeCell ref="A48:A49"/>
    <mergeCell ref="B48:B49"/>
    <mergeCell ref="C48:C49"/>
    <mergeCell ref="D48:D49"/>
    <mergeCell ref="E48:E49"/>
    <mergeCell ref="F48:H48"/>
    <mergeCell ref="I48:K48"/>
    <mergeCell ref="S48:S49"/>
    <mergeCell ref="T48:T49"/>
    <mergeCell ref="I40:K40"/>
    <mergeCell ref="A36:A37"/>
    <mergeCell ref="B36:B37"/>
    <mergeCell ref="C36:C37"/>
    <mergeCell ref="D36:D37"/>
    <mergeCell ref="E36:E37"/>
    <mergeCell ref="F36:H36"/>
    <mergeCell ref="I36:K36"/>
    <mergeCell ref="S36:S37"/>
    <mergeCell ref="A38:A39"/>
    <mergeCell ref="B38:B39"/>
    <mergeCell ref="C38:C39"/>
    <mergeCell ref="D38:D39"/>
    <mergeCell ref="E38:E39"/>
    <mergeCell ref="F38:H38"/>
    <mergeCell ref="I38:K38"/>
    <mergeCell ref="S38:S39"/>
    <mergeCell ref="F37:H37"/>
    <mergeCell ref="I37:K37"/>
    <mergeCell ref="D40:D45"/>
    <mergeCell ref="E40:E45"/>
    <mergeCell ref="S40:S45"/>
    <mergeCell ref="I39:K39"/>
    <mergeCell ref="F32:H32"/>
    <mergeCell ref="I32:K32"/>
    <mergeCell ref="F26:H26"/>
    <mergeCell ref="I26:K26"/>
    <mergeCell ref="A25:A26"/>
    <mergeCell ref="B25:B26"/>
    <mergeCell ref="C25:C26"/>
    <mergeCell ref="D25:D26"/>
    <mergeCell ref="E25:E26"/>
    <mergeCell ref="R25:R26"/>
    <mergeCell ref="S25:S26"/>
    <mergeCell ref="T25:T26"/>
    <mergeCell ref="U25:U26"/>
    <mergeCell ref="A27:A28"/>
    <mergeCell ref="B27:B28"/>
    <mergeCell ref="C27:C28"/>
    <mergeCell ref="D27:D28"/>
    <mergeCell ref="E27:E28"/>
    <mergeCell ref="S27:S28"/>
    <mergeCell ref="F33:H35"/>
    <mergeCell ref="I33:K35"/>
    <mergeCell ref="R33:R35"/>
    <mergeCell ref="E30:E31"/>
    <mergeCell ref="F30:H30"/>
    <mergeCell ref="I30:K30"/>
    <mergeCell ref="S30:S31"/>
    <mergeCell ref="T36:T37"/>
    <mergeCell ref="U36:U37"/>
    <mergeCell ref="A1:C1"/>
    <mergeCell ref="D1:S1"/>
    <mergeCell ref="A2:C2"/>
    <mergeCell ref="E7:R7"/>
    <mergeCell ref="A9:B9"/>
    <mergeCell ref="P9:R9"/>
    <mergeCell ref="E10:G10"/>
    <mergeCell ref="P10:R10"/>
    <mergeCell ref="U27:U28"/>
    <mergeCell ref="A302:U302"/>
    <mergeCell ref="I20:K20"/>
    <mergeCell ref="D11:F11"/>
    <mergeCell ref="N11:P11"/>
    <mergeCell ref="A13:C13"/>
    <mergeCell ref="E13:I13"/>
    <mergeCell ref="J13:L13"/>
    <mergeCell ref="M13:P13"/>
    <mergeCell ref="A15:A19"/>
    <mergeCell ref="I14:K14"/>
    <mergeCell ref="B15:B19"/>
    <mergeCell ref="C15:C19"/>
    <mergeCell ref="D15:D19"/>
    <mergeCell ref="E15:E19"/>
    <mergeCell ref="F15:H19"/>
    <mergeCell ref="Q13:S13"/>
    <mergeCell ref="F211:H211"/>
    <mergeCell ref="I211:K211"/>
    <mergeCell ref="A79:A81"/>
    <mergeCell ref="B79:B81"/>
    <mergeCell ref="T38:T39"/>
    <mergeCell ref="U38:U39"/>
    <mergeCell ref="F39:H39"/>
    <mergeCell ref="V27:V28"/>
    <mergeCell ref="W27:W28"/>
    <mergeCell ref="F28:H28"/>
    <mergeCell ref="I28:K28"/>
    <mergeCell ref="U15:U19"/>
    <mergeCell ref="S15:S19"/>
    <mergeCell ref="T15:T19"/>
    <mergeCell ref="R15:R19"/>
    <mergeCell ref="N16:N19"/>
    <mergeCell ref="O16:O19"/>
    <mergeCell ref="P16:P19"/>
    <mergeCell ref="I15:K19"/>
    <mergeCell ref="L15:Q15"/>
    <mergeCell ref="Q16:Q19"/>
    <mergeCell ref="L16:L19"/>
    <mergeCell ref="M16:M19"/>
    <mergeCell ref="F20:H20"/>
    <mergeCell ref="T27:T28"/>
    <mergeCell ref="F25:H25"/>
    <mergeCell ref="I25:K25"/>
    <mergeCell ref="F27:H27"/>
    <mergeCell ref="I27:K27"/>
    <mergeCell ref="R27:R28"/>
    <mergeCell ref="V23:V24"/>
    <mergeCell ref="W23:W24"/>
    <mergeCell ref="V25:V26"/>
    <mergeCell ref="W25:W26"/>
    <mergeCell ref="E84:E86"/>
    <mergeCell ref="F84:H84"/>
    <mergeCell ref="I84:K84"/>
    <mergeCell ref="S84:S86"/>
    <mergeCell ref="T84:T86"/>
    <mergeCell ref="V79:V81"/>
    <mergeCell ref="W79:W81"/>
    <mergeCell ref="F80:H81"/>
    <mergeCell ref="I80:K81"/>
    <mergeCell ref="R80:R81"/>
    <mergeCell ref="A82:A83"/>
    <mergeCell ref="B82:B83"/>
    <mergeCell ref="C82:C83"/>
    <mergeCell ref="D82:D83"/>
    <mergeCell ref="E82:E83"/>
    <mergeCell ref="F82:H82"/>
    <mergeCell ref="I82:K82"/>
    <mergeCell ref="S82:S83"/>
    <mergeCell ref="T82:T83"/>
    <mergeCell ref="U82:U83"/>
    <mergeCell ref="V82:V83"/>
    <mergeCell ref="W82:W83"/>
    <mergeCell ref="F83:H83"/>
    <mergeCell ref="I83:K83"/>
    <mergeCell ref="U84:U86"/>
    <mergeCell ref="V84:V86"/>
    <mergeCell ref="W84:W86"/>
    <mergeCell ref="F85:H86"/>
    <mergeCell ref="I85:K86"/>
    <mergeCell ref="R85:R86"/>
    <mergeCell ref="A87:A89"/>
    <mergeCell ref="B87:B89"/>
    <mergeCell ref="C87:C89"/>
    <mergeCell ref="D87:D89"/>
    <mergeCell ref="E87:E89"/>
    <mergeCell ref="F87:H87"/>
    <mergeCell ref="I87:K87"/>
    <mergeCell ref="S87:S89"/>
    <mergeCell ref="T87:T89"/>
    <mergeCell ref="U87:U89"/>
    <mergeCell ref="F88:H89"/>
    <mergeCell ref="I88:K89"/>
    <mergeCell ref="R88:R89"/>
    <mergeCell ref="A90:A92"/>
    <mergeCell ref="B90:B92"/>
    <mergeCell ref="C90:C92"/>
    <mergeCell ref="D90:D92"/>
    <mergeCell ref="E90:E92"/>
    <mergeCell ref="F90:H90"/>
    <mergeCell ref="I90:K90"/>
    <mergeCell ref="S90:S92"/>
    <mergeCell ref="T90:T92"/>
    <mergeCell ref="U90:U92"/>
    <mergeCell ref="V90:V92"/>
    <mergeCell ref="W90:W92"/>
    <mergeCell ref="F91:H92"/>
    <mergeCell ref="I91:K92"/>
    <mergeCell ref="R91:R92"/>
    <mergeCell ref="A93:A95"/>
    <mergeCell ref="B93:B95"/>
    <mergeCell ref="C93:C95"/>
    <mergeCell ref="D93:D95"/>
    <mergeCell ref="E93:E95"/>
    <mergeCell ref="F93:H93"/>
    <mergeCell ref="I93:K93"/>
    <mergeCell ref="S93:S95"/>
    <mergeCell ref="T93:T95"/>
    <mergeCell ref="U93:U95"/>
    <mergeCell ref="F94:H95"/>
    <mergeCell ref="I94:K95"/>
    <mergeCell ref="R94:R95"/>
    <mergeCell ref="A96:A97"/>
    <mergeCell ref="B96:B97"/>
    <mergeCell ref="C96:C97"/>
    <mergeCell ref="D96:D97"/>
    <mergeCell ref="E96:E97"/>
    <mergeCell ref="F96:H96"/>
    <mergeCell ref="I96:K96"/>
    <mergeCell ref="S96:S97"/>
    <mergeCell ref="T96:T97"/>
    <mergeCell ref="U96:U97"/>
    <mergeCell ref="V96:V97"/>
    <mergeCell ref="W96:W97"/>
    <mergeCell ref="F97:H97"/>
    <mergeCell ref="I97:K97"/>
    <mergeCell ref="A98:A99"/>
    <mergeCell ref="B98:B99"/>
    <mergeCell ref="C98:C99"/>
    <mergeCell ref="D98:D99"/>
    <mergeCell ref="E98:E99"/>
    <mergeCell ref="F98:H98"/>
    <mergeCell ref="I98:K98"/>
    <mergeCell ref="S98:S99"/>
    <mergeCell ref="T98:T99"/>
    <mergeCell ref="U98:U99"/>
    <mergeCell ref="V98:V99"/>
    <mergeCell ref="W98:W99"/>
    <mergeCell ref="F99:H99"/>
    <mergeCell ref="I99:K99"/>
    <mergeCell ref="A100:A101"/>
    <mergeCell ref="B100:B101"/>
    <mergeCell ref="C100:C101"/>
    <mergeCell ref="D100:D101"/>
    <mergeCell ref="E100:E101"/>
    <mergeCell ref="F100:H100"/>
    <mergeCell ref="I100:K100"/>
    <mergeCell ref="S100:S101"/>
    <mergeCell ref="T100:T101"/>
    <mergeCell ref="U100:U101"/>
    <mergeCell ref="V100:V101"/>
    <mergeCell ref="W100:W101"/>
    <mergeCell ref="F101:H101"/>
    <mergeCell ref="I101:K101"/>
    <mergeCell ref="A103:A104"/>
    <mergeCell ref="B103:B104"/>
    <mergeCell ref="C103:C104"/>
    <mergeCell ref="D103:D104"/>
    <mergeCell ref="E103:E104"/>
    <mergeCell ref="F103:H103"/>
    <mergeCell ref="I103:K103"/>
    <mergeCell ref="S103:S104"/>
    <mergeCell ref="T103:T104"/>
    <mergeCell ref="U103:U104"/>
    <mergeCell ref="V103:V104"/>
    <mergeCell ref="W103:W104"/>
    <mergeCell ref="F104:H104"/>
    <mergeCell ref="I104:K104"/>
    <mergeCell ref="A105:A106"/>
    <mergeCell ref="B105:B106"/>
    <mergeCell ref="C105:C106"/>
    <mergeCell ref="D105:D106"/>
    <mergeCell ref="E105:E106"/>
    <mergeCell ref="F105:H105"/>
    <mergeCell ref="I105:K105"/>
    <mergeCell ref="S105:S106"/>
    <mergeCell ref="T105:T106"/>
    <mergeCell ref="U105:U106"/>
    <mergeCell ref="V105:V106"/>
    <mergeCell ref="W105:W106"/>
    <mergeCell ref="F106:H106"/>
    <mergeCell ref="I106:K106"/>
    <mergeCell ref="A107:A108"/>
    <mergeCell ref="B107:B108"/>
    <mergeCell ref="C107:C108"/>
    <mergeCell ref="D107:D108"/>
    <mergeCell ref="E107:E108"/>
    <mergeCell ref="F107:H107"/>
    <mergeCell ref="I107:K107"/>
    <mergeCell ref="S107:S108"/>
    <mergeCell ref="T107:T108"/>
    <mergeCell ref="U107:U108"/>
    <mergeCell ref="V107:V108"/>
    <mergeCell ref="W107:W108"/>
    <mergeCell ref="F108:H108"/>
    <mergeCell ref="I108:K108"/>
    <mergeCell ref="A109:A111"/>
    <mergeCell ref="B109:B111"/>
    <mergeCell ref="C109:C111"/>
    <mergeCell ref="D109:D111"/>
    <mergeCell ref="E109:E111"/>
    <mergeCell ref="F109:H109"/>
    <mergeCell ref="I109:K109"/>
    <mergeCell ref="S109:S111"/>
    <mergeCell ref="T109:T111"/>
    <mergeCell ref="U109:U111"/>
    <mergeCell ref="V109:V111"/>
    <mergeCell ref="W109:W111"/>
    <mergeCell ref="F110:H111"/>
    <mergeCell ref="I110:K111"/>
    <mergeCell ref="R110:R111"/>
    <mergeCell ref="A112:A114"/>
    <mergeCell ref="B112:B114"/>
    <mergeCell ref="C112:C114"/>
    <mergeCell ref="D112:D114"/>
    <mergeCell ref="E112:E114"/>
    <mergeCell ref="F112:H112"/>
    <mergeCell ref="I112:K112"/>
    <mergeCell ref="S112:S114"/>
    <mergeCell ref="T112:T114"/>
    <mergeCell ref="U112:U114"/>
    <mergeCell ref="V112:V114"/>
    <mergeCell ref="W112:W114"/>
    <mergeCell ref="F113:H113"/>
    <mergeCell ref="I113:K113"/>
    <mergeCell ref="R113:R114"/>
    <mergeCell ref="F114:H114"/>
    <mergeCell ref="I114:K114"/>
    <mergeCell ref="A115:A117"/>
    <mergeCell ref="B115:B117"/>
    <mergeCell ref="C115:C117"/>
    <mergeCell ref="D115:D117"/>
    <mergeCell ref="E115:E117"/>
    <mergeCell ref="F115:H115"/>
    <mergeCell ref="I115:K115"/>
    <mergeCell ref="S115:S117"/>
    <mergeCell ref="T115:T117"/>
    <mergeCell ref="U115:U117"/>
    <mergeCell ref="V115:V117"/>
    <mergeCell ref="W115:W117"/>
    <mergeCell ref="F116:H117"/>
    <mergeCell ref="I116:K117"/>
    <mergeCell ref="R116:R117"/>
    <mergeCell ref="A118:A121"/>
    <mergeCell ref="B118:B121"/>
    <mergeCell ref="C118:C121"/>
    <mergeCell ref="D118:D121"/>
    <mergeCell ref="E118:E121"/>
    <mergeCell ref="F118:H118"/>
    <mergeCell ref="I118:K118"/>
    <mergeCell ref="S118:S121"/>
    <mergeCell ref="T118:T121"/>
    <mergeCell ref="U118:U121"/>
    <mergeCell ref="F119:H121"/>
    <mergeCell ref="I119:K121"/>
    <mergeCell ref="R119:R121"/>
    <mergeCell ref="W122:W123"/>
    <mergeCell ref="F123:H123"/>
    <mergeCell ref="I123:K123"/>
    <mergeCell ref="A124:A126"/>
    <mergeCell ref="B124:B126"/>
    <mergeCell ref="C124:C126"/>
    <mergeCell ref="D124:D126"/>
    <mergeCell ref="E124:E126"/>
    <mergeCell ref="F124:H124"/>
    <mergeCell ref="I124:K124"/>
    <mergeCell ref="S124:S126"/>
    <mergeCell ref="T124:T126"/>
    <mergeCell ref="U124:U126"/>
    <mergeCell ref="V124:V126"/>
    <mergeCell ref="W124:W126"/>
    <mergeCell ref="F125:H125"/>
    <mergeCell ref="I125:K125"/>
    <mergeCell ref="R125:R126"/>
    <mergeCell ref="F126:H126"/>
    <mergeCell ref="I126:K126"/>
    <mergeCell ref="A127:A129"/>
    <mergeCell ref="B127:B129"/>
    <mergeCell ref="C127:C129"/>
    <mergeCell ref="D127:D129"/>
    <mergeCell ref="E127:E129"/>
    <mergeCell ref="F127:H127"/>
    <mergeCell ref="I127:K127"/>
    <mergeCell ref="S127:S129"/>
    <mergeCell ref="T127:T129"/>
    <mergeCell ref="U127:U129"/>
    <mergeCell ref="V127:V129"/>
    <mergeCell ref="W127:W129"/>
    <mergeCell ref="F128:H129"/>
    <mergeCell ref="I128:K129"/>
    <mergeCell ref="R128:R129"/>
    <mergeCell ref="V87:V89"/>
    <mergeCell ref="W87:W89"/>
    <mergeCell ref="V93:V95"/>
    <mergeCell ref="W93:W95"/>
    <mergeCell ref="V118:V121"/>
    <mergeCell ref="W118:W121"/>
    <mergeCell ref="A122:A123"/>
    <mergeCell ref="B122:B123"/>
    <mergeCell ref="C122:C123"/>
    <mergeCell ref="D122:D123"/>
    <mergeCell ref="E122:E123"/>
    <mergeCell ref="F122:H122"/>
    <mergeCell ref="I122:K122"/>
    <mergeCell ref="S122:S123"/>
    <mergeCell ref="T122:T123"/>
    <mergeCell ref="U122:U123"/>
    <mergeCell ref="V122:V123"/>
    <mergeCell ref="A131:A132"/>
    <mergeCell ref="B131:B132"/>
    <mergeCell ref="C131:C132"/>
    <mergeCell ref="D131:D132"/>
    <mergeCell ref="E131:E132"/>
    <mergeCell ref="F131:H131"/>
    <mergeCell ref="I131:K131"/>
    <mergeCell ref="R131:R132"/>
    <mergeCell ref="S131:S132"/>
    <mergeCell ref="T131:T132"/>
    <mergeCell ref="U131:U132"/>
    <mergeCell ref="V131:V132"/>
    <mergeCell ref="W131:W132"/>
    <mergeCell ref="F132:H132"/>
    <mergeCell ref="I132:K132"/>
    <mergeCell ref="A133:A134"/>
    <mergeCell ref="B133:B134"/>
    <mergeCell ref="C133:C134"/>
    <mergeCell ref="D133:D134"/>
    <mergeCell ref="E133:E134"/>
    <mergeCell ref="F133:H133"/>
    <mergeCell ref="I133:K133"/>
    <mergeCell ref="R133:R134"/>
    <mergeCell ref="S133:S134"/>
    <mergeCell ref="T133:T134"/>
    <mergeCell ref="U133:U134"/>
    <mergeCell ref="V133:V134"/>
    <mergeCell ref="W133:W134"/>
    <mergeCell ref="F134:H134"/>
    <mergeCell ref="I134:K134"/>
    <mergeCell ref="A135:A136"/>
    <mergeCell ref="B135:B136"/>
    <mergeCell ref="C135:C136"/>
    <mergeCell ref="D135:D136"/>
    <mergeCell ref="E135:E136"/>
    <mergeCell ref="F135:H135"/>
    <mergeCell ref="I135:K135"/>
    <mergeCell ref="R135:R136"/>
    <mergeCell ref="S135:S136"/>
    <mergeCell ref="T135:T136"/>
    <mergeCell ref="U135:U136"/>
    <mergeCell ref="V135:V136"/>
    <mergeCell ref="W135:W136"/>
    <mergeCell ref="F136:H136"/>
    <mergeCell ref="I136:K136"/>
    <mergeCell ref="A137:A138"/>
    <mergeCell ref="B137:B138"/>
    <mergeCell ref="C137:C138"/>
    <mergeCell ref="D137:D138"/>
    <mergeCell ref="E137:E138"/>
    <mergeCell ref="F137:H137"/>
    <mergeCell ref="I137:K137"/>
    <mergeCell ref="S137:S138"/>
    <mergeCell ref="T137:T138"/>
    <mergeCell ref="U137:U138"/>
    <mergeCell ref="V137:V138"/>
    <mergeCell ref="W137:W138"/>
    <mergeCell ref="F138:H138"/>
    <mergeCell ref="I138:K138"/>
    <mergeCell ref="A139:A140"/>
    <mergeCell ref="B139:B140"/>
    <mergeCell ref="C139:C140"/>
    <mergeCell ref="D139:D140"/>
    <mergeCell ref="E139:E140"/>
    <mergeCell ref="F139:H139"/>
    <mergeCell ref="I139:K139"/>
    <mergeCell ref="S139:S140"/>
    <mergeCell ref="T139:T140"/>
    <mergeCell ref="U139:U140"/>
    <mergeCell ref="V139:V140"/>
    <mergeCell ref="W139:W140"/>
    <mergeCell ref="F140:H140"/>
    <mergeCell ref="I140:K140"/>
    <mergeCell ref="A141:A142"/>
    <mergeCell ref="B141:B142"/>
    <mergeCell ref="C141:C142"/>
    <mergeCell ref="D141:D142"/>
    <mergeCell ref="E141:E142"/>
    <mergeCell ref="F141:H141"/>
    <mergeCell ref="I141:K141"/>
    <mergeCell ref="R141:R142"/>
    <mergeCell ref="S141:S142"/>
    <mergeCell ref="T141:T142"/>
    <mergeCell ref="U141:U142"/>
    <mergeCell ref="V141:V142"/>
    <mergeCell ref="W141:W142"/>
    <mergeCell ref="F142:H142"/>
    <mergeCell ref="I142:K142"/>
    <mergeCell ref="A143:A144"/>
    <mergeCell ref="B143:B144"/>
    <mergeCell ref="C143:C144"/>
    <mergeCell ref="D143:D144"/>
    <mergeCell ref="E143:E144"/>
    <mergeCell ref="F143:H143"/>
    <mergeCell ref="I143:K143"/>
    <mergeCell ref="R143:R144"/>
    <mergeCell ref="S143:S144"/>
    <mergeCell ref="T143:T144"/>
    <mergeCell ref="U143:U144"/>
    <mergeCell ref="V143:V144"/>
    <mergeCell ref="W143:W144"/>
    <mergeCell ref="F144:H144"/>
    <mergeCell ref="I144:K144"/>
    <mergeCell ref="A145:A146"/>
    <mergeCell ref="B145:B146"/>
    <mergeCell ref="C145:C146"/>
    <mergeCell ref="D145:D146"/>
    <mergeCell ref="E145:E146"/>
    <mergeCell ref="F145:H145"/>
    <mergeCell ref="I145:K145"/>
    <mergeCell ref="S145:S146"/>
    <mergeCell ref="T145:T146"/>
    <mergeCell ref="U145:U146"/>
    <mergeCell ref="V145:V146"/>
    <mergeCell ref="W145:W146"/>
    <mergeCell ref="F146:H146"/>
    <mergeCell ref="I146:K146"/>
    <mergeCell ref="A148:A149"/>
    <mergeCell ref="B148:B149"/>
    <mergeCell ref="C148:C149"/>
    <mergeCell ref="D148:D149"/>
    <mergeCell ref="E148:E149"/>
    <mergeCell ref="F148:H148"/>
    <mergeCell ref="I148:K148"/>
    <mergeCell ref="S148:S149"/>
    <mergeCell ref="T148:T149"/>
    <mergeCell ref="U148:U149"/>
    <mergeCell ref="F149:H149"/>
    <mergeCell ref="I149:K149"/>
    <mergeCell ref="A150:A151"/>
    <mergeCell ref="B150:B151"/>
    <mergeCell ref="C150:C151"/>
    <mergeCell ref="D150:D151"/>
    <mergeCell ref="E150:E151"/>
    <mergeCell ref="F150:H150"/>
    <mergeCell ref="I150:K150"/>
    <mergeCell ref="S150:S151"/>
    <mergeCell ref="T150:T151"/>
    <mergeCell ref="U150:U151"/>
    <mergeCell ref="F151:H151"/>
    <mergeCell ref="I151:K151"/>
    <mergeCell ref="A152:A153"/>
    <mergeCell ref="B152:B153"/>
    <mergeCell ref="C152:C153"/>
    <mergeCell ref="D152:D153"/>
    <mergeCell ref="E152:E153"/>
    <mergeCell ref="F152:H152"/>
    <mergeCell ref="I152:K152"/>
    <mergeCell ref="S152:S153"/>
    <mergeCell ref="T152:T153"/>
    <mergeCell ref="U152:U153"/>
    <mergeCell ref="V152:V153"/>
    <mergeCell ref="W152:W153"/>
    <mergeCell ref="F153:H153"/>
    <mergeCell ref="I153:K153"/>
    <mergeCell ref="A154:A155"/>
    <mergeCell ref="B154:B155"/>
    <mergeCell ref="C154:C155"/>
    <mergeCell ref="D154:D155"/>
    <mergeCell ref="E154:E155"/>
    <mergeCell ref="F154:H154"/>
    <mergeCell ref="I154:K154"/>
    <mergeCell ref="S154:S155"/>
    <mergeCell ref="T154:T155"/>
    <mergeCell ref="U154:U155"/>
    <mergeCell ref="V154:V155"/>
    <mergeCell ref="W154:W155"/>
    <mergeCell ref="F155:H155"/>
    <mergeCell ref="I155:K155"/>
    <mergeCell ref="A156:A157"/>
    <mergeCell ref="B156:B157"/>
    <mergeCell ref="C156:C157"/>
    <mergeCell ref="D156:D157"/>
    <mergeCell ref="E156:E157"/>
    <mergeCell ref="F156:H156"/>
    <mergeCell ref="I156:K156"/>
    <mergeCell ref="S156:S157"/>
    <mergeCell ref="T156:T157"/>
    <mergeCell ref="U156:U157"/>
    <mergeCell ref="V156:V157"/>
    <mergeCell ref="W156:W157"/>
    <mergeCell ref="F157:H157"/>
    <mergeCell ref="I157:K157"/>
    <mergeCell ref="A158:A159"/>
    <mergeCell ref="B158:B159"/>
    <mergeCell ref="C158:C159"/>
    <mergeCell ref="D158:D159"/>
    <mergeCell ref="E158:E159"/>
    <mergeCell ref="F158:H158"/>
    <mergeCell ref="I158:K158"/>
    <mergeCell ref="S158:S159"/>
    <mergeCell ref="T158:T159"/>
    <mergeCell ref="U158:U159"/>
    <mergeCell ref="V158:V159"/>
    <mergeCell ref="W158:W159"/>
    <mergeCell ref="F159:H159"/>
    <mergeCell ref="I159:K159"/>
    <mergeCell ref="A162:A163"/>
    <mergeCell ref="B162:B163"/>
    <mergeCell ref="C162:C163"/>
    <mergeCell ref="D162:D163"/>
    <mergeCell ref="E162:E163"/>
    <mergeCell ref="F162:H162"/>
    <mergeCell ref="I162:K162"/>
    <mergeCell ref="S162:S163"/>
    <mergeCell ref="T162:T163"/>
    <mergeCell ref="U162:U163"/>
    <mergeCell ref="V162:V163"/>
    <mergeCell ref="W162:W163"/>
    <mergeCell ref="F163:H163"/>
    <mergeCell ref="I163:K163"/>
    <mergeCell ref="A164:A165"/>
    <mergeCell ref="B164:B165"/>
    <mergeCell ref="C164:C165"/>
    <mergeCell ref="D164:D165"/>
    <mergeCell ref="E164:E165"/>
    <mergeCell ref="F164:H164"/>
    <mergeCell ref="I164:K164"/>
    <mergeCell ref="S164:S165"/>
    <mergeCell ref="T164:T165"/>
    <mergeCell ref="U164:U165"/>
    <mergeCell ref="V164:V165"/>
    <mergeCell ref="W164:W165"/>
    <mergeCell ref="F165:H165"/>
    <mergeCell ref="I165:K165"/>
    <mergeCell ref="A166:A169"/>
    <mergeCell ref="B166:B169"/>
    <mergeCell ref="C166:C169"/>
    <mergeCell ref="D166:D169"/>
    <mergeCell ref="E166:E169"/>
    <mergeCell ref="F166:H166"/>
    <mergeCell ref="I166:K166"/>
    <mergeCell ref="S166:S169"/>
    <mergeCell ref="T166:T169"/>
    <mergeCell ref="U166:U169"/>
    <mergeCell ref="F167:H169"/>
    <mergeCell ref="I167:K169"/>
    <mergeCell ref="R167:R169"/>
    <mergeCell ref="A170:A173"/>
    <mergeCell ref="B170:B173"/>
    <mergeCell ref="C170:C173"/>
    <mergeCell ref="D170:D173"/>
    <mergeCell ref="E170:E173"/>
    <mergeCell ref="F170:H170"/>
    <mergeCell ref="I170:K170"/>
    <mergeCell ref="S170:S173"/>
    <mergeCell ref="T170:T173"/>
    <mergeCell ref="U170:U173"/>
    <mergeCell ref="F171:H173"/>
    <mergeCell ref="I171:K173"/>
    <mergeCell ref="R171:R173"/>
    <mergeCell ref="A174:A175"/>
    <mergeCell ref="B174:B175"/>
    <mergeCell ref="C174:C175"/>
    <mergeCell ref="D174:D175"/>
    <mergeCell ref="E174:E175"/>
    <mergeCell ref="F174:H174"/>
    <mergeCell ref="I174:K174"/>
    <mergeCell ref="S174:S175"/>
    <mergeCell ref="T174:T175"/>
    <mergeCell ref="U174:U175"/>
    <mergeCell ref="V174:V175"/>
    <mergeCell ref="W174:W175"/>
    <mergeCell ref="F175:H175"/>
    <mergeCell ref="I175:K175"/>
    <mergeCell ref="A176:A177"/>
    <mergeCell ref="B176:B177"/>
    <mergeCell ref="C176:C177"/>
    <mergeCell ref="D176:D177"/>
    <mergeCell ref="E176:E177"/>
    <mergeCell ref="F176:H176"/>
    <mergeCell ref="I176:K176"/>
    <mergeCell ref="S176:S177"/>
    <mergeCell ref="T176:T177"/>
    <mergeCell ref="U176:U177"/>
    <mergeCell ref="V176:V177"/>
    <mergeCell ref="W176:W177"/>
    <mergeCell ref="F177:H177"/>
    <mergeCell ref="I177:K177"/>
    <mergeCell ref="I181:K181"/>
    <mergeCell ref="S181:S184"/>
    <mergeCell ref="T181:T184"/>
    <mergeCell ref="U181:U184"/>
    <mergeCell ref="F182:H184"/>
    <mergeCell ref="I182:K184"/>
    <mergeCell ref="R182:R184"/>
    <mergeCell ref="A185:A186"/>
    <mergeCell ref="B185:B186"/>
    <mergeCell ref="C185:C186"/>
    <mergeCell ref="D185:D186"/>
    <mergeCell ref="E185:E186"/>
    <mergeCell ref="F185:H185"/>
    <mergeCell ref="I185:K185"/>
    <mergeCell ref="S185:S186"/>
    <mergeCell ref="T185:T186"/>
    <mergeCell ref="U185:U186"/>
    <mergeCell ref="F186:H186"/>
    <mergeCell ref="I186:K186"/>
    <mergeCell ref="R199:R200"/>
    <mergeCell ref="A187:A191"/>
    <mergeCell ref="B187:B191"/>
    <mergeCell ref="C187:C191"/>
    <mergeCell ref="D187:D191"/>
    <mergeCell ref="E187:E191"/>
    <mergeCell ref="F187:H187"/>
    <mergeCell ref="I187:K187"/>
    <mergeCell ref="S187:S191"/>
    <mergeCell ref="T187:T191"/>
    <mergeCell ref="U187:U191"/>
    <mergeCell ref="F188:H191"/>
    <mergeCell ref="I188:K191"/>
    <mergeCell ref="R188:R191"/>
    <mergeCell ref="A192:A194"/>
    <mergeCell ref="B192:B194"/>
    <mergeCell ref="C192:C194"/>
    <mergeCell ref="D192:D194"/>
    <mergeCell ref="E192:E194"/>
    <mergeCell ref="F192:H192"/>
    <mergeCell ref="I192:K192"/>
    <mergeCell ref="S192:S194"/>
    <mergeCell ref="T192:T194"/>
    <mergeCell ref="U192:U194"/>
    <mergeCell ref="F193:H194"/>
    <mergeCell ref="I193:K194"/>
    <mergeCell ref="R193:R194"/>
    <mergeCell ref="A160:A161"/>
    <mergeCell ref="B160:B161"/>
    <mergeCell ref="C160:C161"/>
    <mergeCell ref="D160:D161"/>
    <mergeCell ref="E160:E161"/>
    <mergeCell ref="F160:H160"/>
    <mergeCell ref="I160:K160"/>
    <mergeCell ref="S160:S161"/>
    <mergeCell ref="T160:T161"/>
    <mergeCell ref="U160:U161"/>
    <mergeCell ref="A195:A197"/>
    <mergeCell ref="B195:B197"/>
    <mergeCell ref="C195:C197"/>
    <mergeCell ref="D195:D197"/>
    <mergeCell ref="E195:E197"/>
    <mergeCell ref="F195:H195"/>
    <mergeCell ref="I195:K195"/>
    <mergeCell ref="S195:S197"/>
    <mergeCell ref="T195:T197"/>
    <mergeCell ref="U195:U197"/>
    <mergeCell ref="F196:H196"/>
    <mergeCell ref="I196:K196"/>
    <mergeCell ref="R196:R197"/>
    <mergeCell ref="F197:H197"/>
    <mergeCell ref="I197:K197"/>
    <mergeCell ref="A180:F180"/>
    <mergeCell ref="A181:A184"/>
    <mergeCell ref="B181:B184"/>
    <mergeCell ref="C181:C184"/>
    <mergeCell ref="D181:D184"/>
    <mergeCell ref="E181:E184"/>
    <mergeCell ref="F181:H181"/>
    <mergeCell ref="S202:S204"/>
    <mergeCell ref="T202:T204"/>
    <mergeCell ref="U202:U204"/>
    <mergeCell ref="V202:V204"/>
    <mergeCell ref="W202:W204"/>
    <mergeCell ref="F203:H204"/>
    <mergeCell ref="I203:K204"/>
    <mergeCell ref="R203:R204"/>
    <mergeCell ref="A178:A179"/>
    <mergeCell ref="B178:B179"/>
    <mergeCell ref="C178:C179"/>
    <mergeCell ref="D178:D179"/>
    <mergeCell ref="E178:E179"/>
    <mergeCell ref="F178:H178"/>
    <mergeCell ref="I178:K178"/>
    <mergeCell ref="S178:S179"/>
    <mergeCell ref="T178:T179"/>
    <mergeCell ref="U178:U179"/>
    <mergeCell ref="F179:H179"/>
    <mergeCell ref="I179:K179"/>
    <mergeCell ref="A198:A200"/>
    <mergeCell ref="B198:B200"/>
    <mergeCell ref="C198:C200"/>
    <mergeCell ref="D198:D200"/>
    <mergeCell ref="E198:E200"/>
    <mergeCell ref="F198:H198"/>
    <mergeCell ref="I198:K198"/>
    <mergeCell ref="S198:S200"/>
    <mergeCell ref="T198:T200"/>
    <mergeCell ref="U198:U200"/>
    <mergeCell ref="F199:H200"/>
    <mergeCell ref="I199:K200"/>
    <mergeCell ref="E211:E212"/>
    <mergeCell ref="R211:R212"/>
    <mergeCell ref="S211:S212"/>
    <mergeCell ref="T211:T212"/>
    <mergeCell ref="V211:V212"/>
    <mergeCell ref="W211:W212"/>
    <mergeCell ref="F212:H212"/>
    <mergeCell ref="I212:K212"/>
    <mergeCell ref="V160:V161"/>
    <mergeCell ref="W160:W161"/>
    <mergeCell ref="F161:H161"/>
    <mergeCell ref="I161:K161"/>
    <mergeCell ref="A205:A206"/>
    <mergeCell ref="B205:B206"/>
    <mergeCell ref="C205:C206"/>
    <mergeCell ref="D205:D206"/>
    <mergeCell ref="E205:E206"/>
    <mergeCell ref="F205:H205"/>
    <mergeCell ref="I205:K205"/>
    <mergeCell ref="R205:R206"/>
    <mergeCell ref="S205:S206"/>
    <mergeCell ref="T205:T206"/>
    <mergeCell ref="U205:U206"/>
    <mergeCell ref="V205:V206"/>
    <mergeCell ref="W205:W206"/>
    <mergeCell ref="A202:A204"/>
    <mergeCell ref="B202:B204"/>
    <mergeCell ref="C202:C204"/>
    <mergeCell ref="D202:D204"/>
    <mergeCell ref="E202:E204"/>
    <mergeCell ref="F202:H202"/>
    <mergeCell ref="I202:K202"/>
    <mergeCell ref="A215:A219"/>
    <mergeCell ref="B215:B219"/>
    <mergeCell ref="C215:C219"/>
    <mergeCell ref="D215:D219"/>
    <mergeCell ref="E215:E219"/>
    <mergeCell ref="S215:S219"/>
    <mergeCell ref="T215:T219"/>
    <mergeCell ref="U215:U219"/>
    <mergeCell ref="F216:H219"/>
    <mergeCell ref="I216:K219"/>
    <mergeCell ref="V213:V214"/>
    <mergeCell ref="W213:W214"/>
    <mergeCell ref="F227:H227"/>
    <mergeCell ref="I227:K227"/>
    <mergeCell ref="R216:R219"/>
    <mergeCell ref="A207:A210"/>
    <mergeCell ref="B207:B210"/>
    <mergeCell ref="C207:C210"/>
    <mergeCell ref="D207:D210"/>
    <mergeCell ref="E207:E210"/>
    <mergeCell ref="S207:S210"/>
    <mergeCell ref="T207:T210"/>
    <mergeCell ref="U207:U210"/>
    <mergeCell ref="V207:V210"/>
    <mergeCell ref="W207:W210"/>
    <mergeCell ref="F208:H210"/>
    <mergeCell ref="I208:K210"/>
    <mergeCell ref="R208:R210"/>
    <mergeCell ref="A211:A212"/>
    <mergeCell ref="B211:B212"/>
    <mergeCell ref="C211:C212"/>
    <mergeCell ref="D211:D212"/>
    <mergeCell ref="V222:V223"/>
    <mergeCell ref="W222:W223"/>
    <mergeCell ref="F223:H223"/>
    <mergeCell ref="I223:K223"/>
    <mergeCell ref="A220:A221"/>
    <mergeCell ref="B220:B221"/>
    <mergeCell ref="C220:C221"/>
    <mergeCell ref="D220:D221"/>
    <mergeCell ref="E220:E221"/>
    <mergeCell ref="S220:S221"/>
    <mergeCell ref="T220:T221"/>
    <mergeCell ref="U220:U221"/>
    <mergeCell ref="V220:V221"/>
    <mergeCell ref="W220:W221"/>
    <mergeCell ref="F257:H257"/>
    <mergeCell ref="I257:K257"/>
    <mergeCell ref="A239:A240"/>
    <mergeCell ref="B239:B240"/>
    <mergeCell ref="C239:C240"/>
    <mergeCell ref="D239:D240"/>
    <mergeCell ref="F232:H232"/>
    <mergeCell ref="I232:K232"/>
    <mergeCell ref="F233:H233"/>
    <mergeCell ref="I233:K233"/>
    <mergeCell ref="F254:H254"/>
    <mergeCell ref="I254:K254"/>
    <mergeCell ref="T224:T226"/>
    <mergeCell ref="U224:U226"/>
    <mergeCell ref="V224:V226"/>
    <mergeCell ref="W224:W226"/>
    <mergeCell ref="F225:H226"/>
    <mergeCell ref="I225:K226"/>
    <mergeCell ref="R225:R226"/>
    <mergeCell ref="A227:A229"/>
    <mergeCell ref="B227:B229"/>
    <mergeCell ref="C227:C229"/>
    <mergeCell ref="D227:D229"/>
    <mergeCell ref="E227:E229"/>
    <mergeCell ref="S227:S229"/>
    <mergeCell ref="T227:T229"/>
    <mergeCell ref="U227:U229"/>
    <mergeCell ref="V227:V229"/>
    <mergeCell ref="W227:W229"/>
    <mergeCell ref="F228:H229"/>
    <mergeCell ref="I228:K229"/>
    <mergeCell ref="R228:R229"/>
    <mergeCell ref="A263:A264"/>
    <mergeCell ref="B263:B264"/>
    <mergeCell ref="C263:C264"/>
    <mergeCell ref="D263:D264"/>
    <mergeCell ref="E263:E264"/>
    <mergeCell ref="F263:H263"/>
    <mergeCell ref="I263:K263"/>
    <mergeCell ref="S263:S264"/>
    <mergeCell ref="T263:T264"/>
    <mergeCell ref="U263:U264"/>
    <mergeCell ref="V263:V264"/>
    <mergeCell ref="W263:W264"/>
    <mergeCell ref="A261:A262"/>
    <mergeCell ref="B261:B262"/>
    <mergeCell ref="C261:C262"/>
    <mergeCell ref="D261:D262"/>
    <mergeCell ref="E261:E262"/>
    <mergeCell ref="S261:S262"/>
    <mergeCell ref="T261:T262"/>
    <mergeCell ref="U261:U262"/>
    <mergeCell ref="V261:V262"/>
    <mergeCell ref="W261:W262"/>
    <mergeCell ref="F262:H262"/>
    <mergeCell ref="I262:K262"/>
    <mergeCell ref="F261:H261"/>
    <mergeCell ref="I261:K261"/>
    <mergeCell ref="S250:S251"/>
    <mergeCell ref="T250:T251"/>
    <mergeCell ref="U250:U251"/>
    <mergeCell ref="V250:V251"/>
    <mergeCell ref="W250:W251"/>
    <mergeCell ref="F251:H251"/>
    <mergeCell ref="I251:K251"/>
    <mergeCell ref="A258:A260"/>
    <mergeCell ref="B258:B260"/>
    <mergeCell ref="C258:C260"/>
    <mergeCell ref="D258:D260"/>
    <mergeCell ref="E258:E260"/>
    <mergeCell ref="S258:S260"/>
    <mergeCell ref="T258:T260"/>
    <mergeCell ref="U258:U260"/>
    <mergeCell ref="V258:V260"/>
    <mergeCell ref="W258:W260"/>
    <mergeCell ref="F259:H260"/>
    <mergeCell ref="I259:K260"/>
    <mergeCell ref="R259:R260"/>
    <mergeCell ref="A254:A255"/>
    <mergeCell ref="B254:B255"/>
    <mergeCell ref="C254:C255"/>
    <mergeCell ref="D254:D255"/>
    <mergeCell ref="R237:R238"/>
    <mergeCell ref="A237:A238"/>
    <mergeCell ref="B237:B238"/>
    <mergeCell ref="C237:C238"/>
    <mergeCell ref="D237:D238"/>
    <mergeCell ref="E237:E238"/>
    <mergeCell ref="F237:H237"/>
    <mergeCell ref="I237:K237"/>
    <mergeCell ref="E254:E255"/>
    <mergeCell ref="S254:S255"/>
    <mergeCell ref="T254:T255"/>
    <mergeCell ref="U254:U255"/>
    <mergeCell ref="V254:V255"/>
    <mergeCell ref="W254:W255"/>
    <mergeCell ref="V252:V253"/>
    <mergeCell ref="W252:W253"/>
    <mergeCell ref="A231:A232"/>
    <mergeCell ref="B231:B232"/>
    <mergeCell ref="C231:C232"/>
    <mergeCell ref="D231:D232"/>
    <mergeCell ref="E231:E232"/>
    <mergeCell ref="F231:H231"/>
    <mergeCell ref="I231:K231"/>
    <mergeCell ref="R231:R232"/>
    <mergeCell ref="S231:S232"/>
    <mergeCell ref="T231:T232"/>
    <mergeCell ref="U231:U232"/>
    <mergeCell ref="V231:V232"/>
    <mergeCell ref="W231:W232"/>
    <mergeCell ref="A233:A234"/>
    <mergeCell ref="B233:B234"/>
    <mergeCell ref="C233:C234"/>
    <mergeCell ref="V233:V234"/>
    <mergeCell ref="W233:W234"/>
    <mergeCell ref="F234:H234"/>
    <mergeCell ref="I234:K234"/>
    <mergeCell ref="A235:A236"/>
    <mergeCell ref="B235:B236"/>
    <mergeCell ref="C235:C236"/>
    <mergeCell ref="D235:D236"/>
    <mergeCell ref="E235:E236"/>
    <mergeCell ref="F235:H235"/>
    <mergeCell ref="I235:K235"/>
    <mergeCell ref="R235:R236"/>
    <mergeCell ref="S235:S236"/>
    <mergeCell ref="T235:T236"/>
    <mergeCell ref="U235:U236"/>
    <mergeCell ref="V235:V236"/>
    <mergeCell ref="W235:W236"/>
    <mergeCell ref="F236:H236"/>
    <mergeCell ref="I236:K236"/>
    <mergeCell ref="D233:D234"/>
    <mergeCell ref="E233:E234"/>
    <mergeCell ref="R233:R234"/>
    <mergeCell ref="S233:S234"/>
    <mergeCell ref="T233:T234"/>
    <mergeCell ref="U233:U234"/>
    <mergeCell ref="S247:S249"/>
    <mergeCell ref="T247:T249"/>
    <mergeCell ref="U247:U249"/>
    <mergeCell ref="V247:V249"/>
    <mergeCell ref="W247:W249"/>
    <mergeCell ref="F248:H249"/>
    <mergeCell ref="I248:K249"/>
    <mergeCell ref="R248:R249"/>
    <mergeCell ref="E239:E240"/>
    <mergeCell ref="S239:S240"/>
    <mergeCell ref="T239:T240"/>
    <mergeCell ref="U239:U240"/>
    <mergeCell ref="A241:A242"/>
    <mergeCell ref="B241:B242"/>
    <mergeCell ref="C241:C242"/>
    <mergeCell ref="D241:D242"/>
    <mergeCell ref="E241:E242"/>
    <mergeCell ref="S241:S242"/>
    <mergeCell ref="T241:T242"/>
    <mergeCell ref="U241:U242"/>
    <mergeCell ref="F242:H242"/>
    <mergeCell ref="I242:K242"/>
    <mergeCell ref="A243:A244"/>
    <mergeCell ref="B243:B244"/>
    <mergeCell ref="C243:C244"/>
    <mergeCell ref="F243:H243"/>
    <mergeCell ref="I243:K243"/>
    <mergeCell ref="S243:S244"/>
    <mergeCell ref="T243:T244"/>
    <mergeCell ref="U243:U244"/>
    <mergeCell ref="D243:D244"/>
    <mergeCell ref="E243:E244"/>
    <mergeCell ref="S237:S238"/>
    <mergeCell ref="T237:T238"/>
    <mergeCell ref="U237:U238"/>
    <mergeCell ref="V237:V238"/>
    <mergeCell ref="W237:W238"/>
    <mergeCell ref="F238:H238"/>
    <mergeCell ref="I238:K238"/>
    <mergeCell ref="A256:A257"/>
    <mergeCell ref="B256:B257"/>
    <mergeCell ref="C256:C257"/>
    <mergeCell ref="D256:D257"/>
    <mergeCell ref="E256:E257"/>
    <mergeCell ref="F256:H256"/>
    <mergeCell ref="I256:K256"/>
    <mergeCell ref="S256:S257"/>
    <mergeCell ref="T256:T257"/>
    <mergeCell ref="U256:U257"/>
    <mergeCell ref="V243:V244"/>
    <mergeCell ref="W243:W244"/>
    <mergeCell ref="F244:H244"/>
    <mergeCell ref="I244:K244"/>
    <mergeCell ref="F245:H245"/>
    <mergeCell ref="I245:K245"/>
    <mergeCell ref="V245:V246"/>
    <mergeCell ref="W245:W246"/>
    <mergeCell ref="F246:H246"/>
    <mergeCell ref="I246:K246"/>
    <mergeCell ref="A247:A249"/>
    <mergeCell ref="B247:B249"/>
    <mergeCell ref="C247:C249"/>
    <mergeCell ref="D247:D249"/>
    <mergeCell ref="E247:E249"/>
    <mergeCell ref="V265:V266"/>
    <mergeCell ref="W265:W266"/>
    <mergeCell ref="F266:H266"/>
    <mergeCell ref="I266:K266"/>
    <mergeCell ref="A267:A268"/>
    <mergeCell ref="B267:B268"/>
    <mergeCell ref="C267:C268"/>
    <mergeCell ref="D267:D268"/>
    <mergeCell ref="E267:E268"/>
    <mergeCell ref="F267:H267"/>
    <mergeCell ref="I267:K267"/>
    <mergeCell ref="S267:S268"/>
    <mergeCell ref="T267:T268"/>
    <mergeCell ref="U267:U268"/>
    <mergeCell ref="V267:V268"/>
    <mergeCell ref="W267:W268"/>
    <mergeCell ref="F268:H268"/>
    <mergeCell ref="I268:K268"/>
    <mergeCell ref="A265:A266"/>
    <mergeCell ref="B265:B266"/>
    <mergeCell ref="C265:C266"/>
    <mergeCell ref="D265:D266"/>
    <mergeCell ref="E265:E266"/>
    <mergeCell ref="S265:S266"/>
    <mergeCell ref="T265:T266"/>
    <mergeCell ref="U265:U266"/>
    <mergeCell ref="A271:A272"/>
    <mergeCell ref="B271:B272"/>
    <mergeCell ref="C271:C272"/>
    <mergeCell ref="D271:D272"/>
    <mergeCell ref="E271:E272"/>
    <mergeCell ref="F271:H271"/>
    <mergeCell ref="I271:K271"/>
    <mergeCell ref="S271:S272"/>
    <mergeCell ref="T271:T272"/>
    <mergeCell ref="U271:U272"/>
    <mergeCell ref="V271:V272"/>
    <mergeCell ref="W271:W272"/>
    <mergeCell ref="F272:H272"/>
    <mergeCell ref="I272:K272"/>
    <mergeCell ref="A273:A276"/>
    <mergeCell ref="B273:B276"/>
    <mergeCell ref="C273:C276"/>
    <mergeCell ref="D273:D276"/>
    <mergeCell ref="S273:S276"/>
    <mergeCell ref="T273:T276"/>
    <mergeCell ref="U273:U276"/>
    <mergeCell ref="V273:V276"/>
    <mergeCell ref="W273:W276"/>
    <mergeCell ref="F274:H276"/>
    <mergeCell ref="I274:K276"/>
    <mergeCell ref="R274:R276"/>
    <mergeCell ref="W289:W290"/>
    <mergeCell ref="F290:H290"/>
    <mergeCell ref="I290:K290"/>
    <mergeCell ref="A289:A290"/>
    <mergeCell ref="B289:B290"/>
    <mergeCell ref="C289:C290"/>
    <mergeCell ref="D289:D290"/>
    <mergeCell ref="E289:E290"/>
    <mergeCell ref="F289:H289"/>
    <mergeCell ref="I289:K289"/>
    <mergeCell ref="S289:S290"/>
    <mergeCell ref="A283:A286"/>
    <mergeCell ref="B283:B286"/>
    <mergeCell ref="C283:C286"/>
    <mergeCell ref="D283:D286"/>
    <mergeCell ref="A291:A292"/>
    <mergeCell ref="B291:B292"/>
    <mergeCell ref="C291:C292"/>
    <mergeCell ref="D291:D292"/>
    <mergeCell ref="E291:E292"/>
    <mergeCell ref="F291:H291"/>
    <mergeCell ref="I291:K291"/>
    <mergeCell ref="S291:S292"/>
    <mergeCell ref="T291:T292"/>
    <mergeCell ref="U291:U292"/>
    <mergeCell ref="V291:V292"/>
    <mergeCell ref="W291:W292"/>
    <mergeCell ref="F292:H292"/>
    <mergeCell ref="I292:K292"/>
    <mergeCell ref="T289:T290"/>
    <mergeCell ref="A287:A288"/>
    <mergeCell ref="B287:B288"/>
    <mergeCell ref="C287:C288"/>
    <mergeCell ref="D287:D288"/>
    <mergeCell ref="E287:E288"/>
    <mergeCell ref="F287:H287"/>
    <mergeCell ref="I287:K287"/>
    <mergeCell ref="S287:S288"/>
    <mergeCell ref="T287:T288"/>
    <mergeCell ref="U289:U290"/>
    <mergeCell ref="V289:V290"/>
    <mergeCell ref="A277:A282"/>
    <mergeCell ref="B277:B282"/>
    <mergeCell ref="C277:C282"/>
    <mergeCell ref="D277:D282"/>
    <mergeCell ref="E277:E282"/>
    <mergeCell ref="F277:H277"/>
    <mergeCell ref="I277:K277"/>
    <mergeCell ref="S277:S282"/>
    <mergeCell ref="T277:T282"/>
    <mergeCell ref="U277:U282"/>
    <mergeCell ref="V277:V282"/>
    <mergeCell ref="F278:H282"/>
    <mergeCell ref="I278:K282"/>
    <mergeCell ref="R278:R282"/>
    <mergeCell ref="U287:U288"/>
    <mergeCell ref="V287:V288"/>
    <mergeCell ref="W287:W288"/>
    <mergeCell ref="F288:H288"/>
    <mergeCell ref="I288:K288"/>
    <mergeCell ref="A269:A270"/>
    <mergeCell ref="B269:B270"/>
    <mergeCell ref="C269:C270"/>
    <mergeCell ref="D269:D270"/>
    <mergeCell ref="E269:E270"/>
    <mergeCell ref="F269:H269"/>
    <mergeCell ref="I269:K269"/>
    <mergeCell ref="S269:S270"/>
    <mergeCell ref="T269:T270"/>
    <mergeCell ref="U269:U270"/>
    <mergeCell ref="F270:H270"/>
    <mergeCell ref="I270:K270"/>
    <mergeCell ref="U283:U286"/>
    <mergeCell ref="V283:V286"/>
    <mergeCell ref="W283:W286"/>
    <mergeCell ref="E273:E276"/>
    <mergeCell ref="F273:H273"/>
    <mergeCell ref="I273:K273"/>
    <mergeCell ref="E283:E286"/>
    <mergeCell ref="F283:H283"/>
    <mergeCell ref="I283:K283"/>
    <mergeCell ref="S283:S286"/>
    <mergeCell ref="T283:T286"/>
    <mergeCell ref="F284:H286"/>
    <mergeCell ref="I284:K286"/>
    <mergeCell ref="R284:R286"/>
    <mergeCell ref="W277:W282"/>
  </mergeCells>
  <printOptions horizontalCentered="1"/>
  <pageMargins left="0" right="0" top="1" bottom="0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V303"/>
  <sheetViews>
    <sheetView showZeros="0" tabSelected="1" view="pageBreakPreview" zoomScale="115" zoomScaleNormal="115" zoomScaleSheetLayoutView="115" workbookViewId="0">
      <selection activeCell="Z24" sqref="Z24"/>
    </sheetView>
  </sheetViews>
  <sheetFormatPr defaultRowHeight="15"/>
  <cols>
    <col min="1" max="1" width="3.42578125" style="166" customWidth="1"/>
    <col min="2" max="2" width="7.5703125" style="166" hidden="1" customWidth="1"/>
    <col min="3" max="3" width="57.85546875" style="167" customWidth="1"/>
    <col min="4" max="4" width="5.85546875" style="158" customWidth="1"/>
    <col min="5" max="5" width="6.28515625" style="172" customWidth="1"/>
    <col min="6" max="7" width="2.140625" style="168" hidden="1" customWidth="1"/>
    <col min="8" max="8" width="2.28515625" style="168" hidden="1" customWidth="1"/>
    <col min="9" max="9" width="1.85546875" style="168" hidden="1" customWidth="1"/>
    <col min="10" max="10" width="2.140625" style="168" hidden="1" customWidth="1"/>
    <col min="11" max="11" width="2.42578125" style="168" hidden="1" customWidth="1"/>
    <col min="12" max="12" width="18" style="334" hidden="1" customWidth="1"/>
    <col min="13" max="13" width="4.28515625" style="158" hidden="1" customWidth="1"/>
    <col min="14" max="14" width="5.5703125" style="158" hidden="1" customWidth="1"/>
    <col min="15" max="15" width="6.85546875" style="172" hidden="1" customWidth="1"/>
    <col min="16" max="16" width="5.5703125" style="235" hidden="1" customWidth="1"/>
    <col min="17" max="17" width="5.28515625" style="169" hidden="1" customWidth="1"/>
    <col min="18" max="18" width="5.5703125" style="158" hidden="1" customWidth="1"/>
    <col min="19" max="19" width="5.42578125" style="158" hidden="1" customWidth="1"/>
    <col min="20" max="20" width="7.42578125" style="174" hidden="1" customWidth="1"/>
    <col min="21" max="21" width="7.28515625" style="170" hidden="1" customWidth="1"/>
    <col min="22" max="22" width="9.140625" style="158"/>
    <col min="23" max="23" width="12.28515625" style="158" customWidth="1"/>
    <col min="24" max="24" width="8.42578125" style="158" customWidth="1"/>
    <col min="25" max="25" width="11.85546875" style="158" bestFit="1" customWidth="1"/>
    <col min="26" max="26" width="19.5703125" style="158" bestFit="1" customWidth="1"/>
    <col min="27" max="16384" width="9.140625" style="158"/>
  </cols>
  <sheetData>
    <row r="1" spans="1:25" s="116" customFormat="1" ht="47.25" customHeight="1">
      <c r="A1" s="1513" t="s">
        <v>536</v>
      </c>
      <c r="B1" s="1513"/>
      <c r="C1" s="1513"/>
      <c r="D1" s="1513"/>
      <c r="E1" s="1513"/>
      <c r="F1" s="1513"/>
      <c r="G1" s="1513"/>
      <c r="H1" s="1513"/>
      <c r="I1" s="1513"/>
      <c r="J1" s="1513"/>
      <c r="K1" s="1513"/>
      <c r="L1" s="1513"/>
      <c r="M1" s="1513"/>
      <c r="N1" s="1513"/>
      <c r="O1" s="1513"/>
      <c r="P1" s="1513"/>
      <c r="Q1" s="1513"/>
      <c r="R1" s="1513"/>
      <c r="S1" s="1513"/>
      <c r="T1" s="1513"/>
      <c r="U1" s="1513"/>
      <c r="V1" s="1513"/>
      <c r="W1" s="1513"/>
      <c r="X1" s="1513"/>
    </row>
    <row r="2" spans="1:25" s="116" customFormat="1" ht="3" customHeight="1">
      <c r="A2" s="1391"/>
      <c r="B2" s="1391"/>
      <c r="C2" s="1391"/>
      <c r="D2" s="628"/>
      <c r="E2" s="176"/>
      <c r="F2" s="118"/>
      <c r="G2" s="118"/>
      <c r="H2" s="118"/>
      <c r="I2" s="118"/>
      <c r="J2" s="118"/>
      <c r="K2" s="118"/>
      <c r="L2" s="332"/>
      <c r="M2" s="119"/>
      <c r="N2" s="120"/>
      <c r="O2" s="120"/>
      <c r="P2" s="140"/>
      <c r="Q2" s="121"/>
      <c r="R2" s="120"/>
      <c r="S2" s="120"/>
      <c r="T2" s="173"/>
      <c r="U2" s="114"/>
      <c r="V2" s="115"/>
      <c r="W2" s="115"/>
    </row>
    <row r="3" spans="1:25" s="116" customFormat="1" ht="12.75" hidden="1">
      <c r="A3" s="123"/>
      <c r="B3" s="123"/>
      <c r="C3" s="124"/>
      <c r="D3" s="120"/>
      <c r="E3" s="120"/>
      <c r="F3" s="350"/>
      <c r="G3" s="350"/>
      <c r="H3" s="350"/>
      <c r="I3" s="350"/>
      <c r="J3" s="350"/>
      <c r="K3" s="350"/>
      <c r="L3" s="333"/>
      <c r="M3" s="120"/>
      <c r="N3" s="120"/>
      <c r="O3" s="120"/>
      <c r="P3" s="140"/>
      <c r="Q3" s="121"/>
      <c r="R3" s="120"/>
      <c r="S3" s="120"/>
      <c r="T3" s="140"/>
      <c r="U3" s="125"/>
      <c r="V3" s="115"/>
      <c r="W3" s="115"/>
    </row>
    <row r="4" spans="1:25" s="131" customFormat="1" ht="15.75">
      <c r="A4" s="1517" t="s">
        <v>161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1518"/>
      <c r="M4" s="1518"/>
      <c r="N4" s="1518"/>
      <c r="O4" s="1518"/>
      <c r="P4" s="1518"/>
      <c r="Q4" s="1518"/>
      <c r="R4" s="1518"/>
      <c r="S4" s="1518"/>
      <c r="T4" s="1518"/>
      <c r="U4" s="1518"/>
      <c r="V4" s="1518"/>
      <c r="W4" s="175" t="str">
        <f>+'1'!C9</f>
        <v xml:space="preserve">№ </v>
      </c>
    </row>
    <row r="5" spans="1:25" s="137" customFormat="1" ht="2.25" customHeight="1" thickBot="1">
      <c r="A5" s="133"/>
      <c r="B5" s="133"/>
      <c r="C5" s="124"/>
      <c r="D5" s="132"/>
      <c r="E5" s="132"/>
      <c r="F5" s="350"/>
      <c r="G5" s="350"/>
      <c r="H5" s="350"/>
      <c r="I5" s="350"/>
      <c r="J5" s="350"/>
      <c r="K5" s="350"/>
      <c r="L5" s="333"/>
      <c r="M5" s="132"/>
      <c r="N5" s="132"/>
      <c r="O5" s="132"/>
      <c r="P5" s="140"/>
      <c r="Q5" s="121"/>
      <c r="R5" s="132"/>
      <c r="S5" s="132"/>
      <c r="T5" s="140"/>
      <c r="U5" s="134"/>
      <c r="V5" s="135"/>
      <c r="W5" s="364"/>
      <c r="X5" s="132"/>
      <c r="Y5" s="132"/>
    </row>
    <row r="6" spans="1:25" s="137" customFormat="1" ht="13.5" hidden="1" customHeight="1">
      <c r="A6" s="133"/>
      <c r="B6" s="133"/>
      <c r="C6" s="124"/>
      <c r="D6" s="628"/>
      <c r="E6" s="1516" t="s">
        <v>176</v>
      </c>
      <c r="F6" s="1516"/>
      <c r="G6" s="1516"/>
      <c r="H6" s="1516"/>
      <c r="I6" s="1516"/>
      <c r="J6" s="1516"/>
      <c r="K6" s="1516"/>
      <c r="L6" s="1516"/>
      <c r="M6" s="1516"/>
      <c r="N6" s="1516"/>
      <c r="O6" s="1516"/>
      <c r="P6" s="1516"/>
      <c r="Q6" s="1516"/>
      <c r="R6" s="1516"/>
      <c r="S6" s="132"/>
      <c r="T6" s="140"/>
      <c r="U6" s="134"/>
      <c r="V6" s="135"/>
      <c r="W6" s="132"/>
      <c r="X6" s="365"/>
      <c r="Y6" s="132"/>
    </row>
    <row r="7" spans="1:25" s="137" customFormat="1" ht="12" hidden="1" customHeight="1">
      <c r="A7" s="133"/>
      <c r="B7" s="133"/>
      <c r="C7" s="124"/>
      <c r="D7" s="132"/>
      <c r="E7" s="1393"/>
      <c r="F7" s="1393"/>
      <c r="G7" s="1393"/>
      <c r="H7" s="1393"/>
      <c r="I7" s="1393"/>
      <c r="J7" s="1393"/>
      <c r="K7" s="1393"/>
      <c r="L7" s="1393"/>
      <c r="M7" s="1393"/>
      <c r="N7" s="1393"/>
      <c r="O7" s="1393"/>
      <c r="P7" s="1393"/>
      <c r="Q7" s="1393"/>
      <c r="R7" s="1393"/>
      <c r="S7" s="132"/>
      <c r="T7" s="140"/>
      <c r="U7" s="134"/>
      <c r="V7" s="135"/>
      <c r="W7" s="132"/>
      <c r="X7" s="132"/>
      <c r="Y7" s="132"/>
    </row>
    <row r="8" spans="1:25" s="137" customFormat="1" ht="0.75" hidden="1" customHeight="1">
      <c r="A8" s="133"/>
      <c r="B8" s="133"/>
      <c r="C8" s="124"/>
      <c r="D8" s="139"/>
      <c r="E8" s="140"/>
      <c r="F8" s="350"/>
      <c r="G8" s="350"/>
      <c r="H8" s="350"/>
      <c r="I8" s="350"/>
      <c r="J8" s="350"/>
      <c r="K8" s="350"/>
      <c r="L8" s="333"/>
      <c r="M8" s="132"/>
      <c r="N8" s="132"/>
      <c r="O8" s="132"/>
      <c r="P8" s="140"/>
      <c r="Q8" s="121"/>
      <c r="R8" s="141"/>
      <c r="S8" s="132"/>
      <c r="T8" s="140"/>
      <c r="U8" s="134"/>
      <c r="V8" s="135"/>
      <c r="W8" s="132"/>
      <c r="X8" s="132"/>
      <c r="Y8" s="132"/>
    </row>
    <row r="9" spans="1:25" s="137" customFormat="1" ht="12.75" hidden="1">
      <c r="A9" s="1394" t="s">
        <v>79</v>
      </c>
      <c r="B9" s="1394"/>
      <c r="C9" s="124" t="s">
        <v>174</v>
      </c>
      <c r="D9" s="132"/>
      <c r="E9" s="132"/>
      <c r="F9" s="350"/>
      <c r="G9" s="350"/>
      <c r="H9" s="350"/>
      <c r="I9" s="350"/>
      <c r="J9" s="350"/>
      <c r="K9" s="350"/>
      <c r="L9" s="333"/>
      <c r="M9" s="132"/>
      <c r="N9" s="132"/>
      <c r="O9" s="628" t="s">
        <v>80</v>
      </c>
      <c r="P9" s="1395" t="e">
        <f>+#REF!</f>
        <v>#REF!</v>
      </c>
      <c r="Q9" s="1395"/>
      <c r="R9" s="1395"/>
      <c r="S9" s="142" t="s">
        <v>25</v>
      </c>
      <c r="T9" s="140"/>
      <c r="U9" s="134"/>
      <c r="V9" s="135"/>
      <c r="W9" s="132"/>
      <c r="X9" s="132"/>
      <c r="Y9" s="132"/>
    </row>
    <row r="10" spans="1:25" s="137" customFormat="1" ht="4.5" hidden="1" customHeight="1">
      <c r="A10" s="143"/>
      <c r="B10" s="143"/>
      <c r="C10" s="144"/>
      <c r="D10" s="145"/>
      <c r="E10" s="1519"/>
      <c r="F10" s="1519"/>
      <c r="G10" s="1519"/>
      <c r="H10" s="350"/>
      <c r="I10" s="350"/>
      <c r="J10" s="350"/>
      <c r="K10" s="350"/>
      <c r="L10" s="333"/>
      <c r="M10" s="132"/>
      <c r="N10" s="132"/>
      <c r="O10" s="628"/>
      <c r="P10" s="1395"/>
      <c r="Q10" s="1395"/>
      <c r="R10" s="1395"/>
      <c r="S10" s="142"/>
      <c r="T10" s="350"/>
      <c r="U10" s="146"/>
      <c r="V10" s="135"/>
    </row>
    <row r="11" spans="1:25" s="137" customFormat="1" ht="12.75" hidden="1">
      <c r="A11" s="147" t="s">
        <v>81</v>
      </c>
      <c r="B11" s="147"/>
      <c r="C11" s="148"/>
      <c r="D11" s="1400">
        <f>+'1'!D11:F11</f>
        <v>252984</v>
      </c>
      <c r="E11" s="1400"/>
      <c r="F11" s="1400"/>
      <c r="G11" s="222"/>
      <c r="H11" s="149"/>
      <c r="I11" s="149" t="s">
        <v>82</v>
      </c>
      <c r="J11" s="222"/>
      <c r="K11" s="222"/>
      <c r="L11" s="352" t="s">
        <v>83</v>
      </c>
      <c r="M11" s="223" t="s">
        <v>84</v>
      </c>
      <c r="N11" s="1514">
        <f>+'1'!N11:P11</f>
        <v>1.1525031000000003</v>
      </c>
      <c r="O11" s="1514"/>
      <c r="P11" s="1514"/>
      <c r="Q11" s="149"/>
      <c r="R11" s="224"/>
      <c r="S11" s="225"/>
      <c r="T11" s="225"/>
      <c r="U11" s="150"/>
      <c r="V11" s="151"/>
    </row>
    <row r="12" spans="1:25" s="137" customFormat="1" ht="7.5" hidden="1" customHeight="1">
      <c r="A12" s="147"/>
      <c r="B12" s="147"/>
      <c r="C12" s="152"/>
      <c r="D12" s="226"/>
      <c r="E12" s="227"/>
      <c r="F12" s="228"/>
      <c r="G12" s="229"/>
      <c r="H12" s="230"/>
      <c r="I12" s="230"/>
      <c r="J12" s="229"/>
      <c r="K12" s="229"/>
      <c r="L12" s="352"/>
      <c r="M12" s="225"/>
      <c r="N12" s="231"/>
      <c r="O12" s="225"/>
      <c r="P12" s="353"/>
      <c r="Q12" s="149"/>
      <c r="R12" s="224"/>
      <c r="S12" s="225"/>
      <c r="T12" s="225"/>
      <c r="U12" s="150"/>
      <c r="V12" s="151"/>
    </row>
    <row r="13" spans="1:25" s="137" customFormat="1" ht="14.25" hidden="1" customHeight="1">
      <c r="A13" s="1402" t="s">
        <v>85</v>
      </c>
      <c r="B13" s="1403"/>
      <c r="C13" s="1403"/>
      <c r="D13" s="232"/>
      <c r="E13" s="1404" t="s">
        <v>86</v>
      </c>
      <c r="F13" s="1404"/>
      <c r="G13" s="1404"/>
      <c r="H13" s="1404"/>
      <c r="I13" s="1404"/>
      <c r="J13" s="1405">
        <f>+'1'!J13:L13</f>
        <v>2337</v>
      </c>
      <c r="K13" s="1405"/>
      <c r="L13" s="1405"/>
      <c r="M13" s="1515" t="s">
        <v>87</v>
      </c>
      <c r="N13" s="1515"/>
      <c r="O13" s="1515"/>
      <c r="P13" s="1515"/>
      <c r="Q13" s="1405">
        <f>+'1'!Q13:S13</f>
        <v>3222.81</v>
      </c>
      <c r="R13" s="1405"/>
      <c r="S13" s="1405"/>
      <c r="T13" s="354"/>
      <c r="U13" s="178"/>
      <c r="V13" s="151"/>
    </row>
    <row r="14" spans="1:25" s="116" customFormat="1" ht="6" hidden="1" customHeight="1" thickBot="1">
      <c r="A14" s="179"/>
      <c r="B14" s="179"/>
      <c r="C14" s="152"/>
      <c r="D14" s="120"/>
      <c r="E14" s="120"/>
      <c r="F14" s="350"/>
      <c r="G14" s="350"/>
      <c r="H14" s="350"/>
      <c r="I14" s="1409"/>
      <c r="J14" s="1409"/>
      <c r="K14" s="1409"/>
      <c r="L14" s="333"/>
      <c r="M14" s="120"/>
      <c r="N14" s="120"/>
      <c r="O14" s="120"/>
      <c r="P14" s="140"/>
      <c r="Q14" s="121"/>
      <c r="R14" s="180"/>
      <c r="S14" s="120"/>
      <c r="T14" s="149"/>
      <c r="U14" s="181">
        <f>+D11/35000*7.5</f>
        <v>54.210857142857144</v>
      </c>
      <c r="V14" s="269">
        <f>1.133*1.03*('ԱՄՓՈՓ  '!B37+1)*('ԱՄՓՈՓ  '!B41+1)*1.11</f>
        <v>1.3279371763350001</v>
      </c>
      <c r="W14" s="270"/>
      <c r="X14" s="358"/>
    </row>
    <row r="15" spans="1:25" s="153" customFormat="1" ht="18" customHeight="1" thickTop="1">
      <c r="A15" s="1496" t="s">
        <v>88</v>
      </c>
      <c r="B15" s="1410" t="s">
        <v>89</v>
      </c>
      <c r="C15" s="1413" t="s">
        <v>90</v>
      </c>
      <c r="D15" s="1366" t="s">
        <v>91</v>
      </c>
      <c r="E15" s="1366" t="s">
        <v>92</v>
      </c>
      <c r="F15" s="1373" t="s">
        <v>93</v>
      </c>
      <c r="G15" s="1486"/>
      <c r="H15" s="1487"/>
      <c r="I15" s="1373" t="s">
        <v>94</v>
      </c>
      <c r="J15" s="1374"/>
      <c r="K15" s="1375"/>
      <c r="L15" s="1382" t="s">
        <v>95</v>
      </c>
      <c r="M15" s="1383"/>
      <c r="N15" s="1383"/>
      <c r="O15" s="1383"/>
      <c r="P15" s="1383"/>
      <c r="Q15" s="1384"/>
      <c r="R15" s="1366" t="s">
        <v>96</v>
      </c>
      <c r="S15" s="1366" t="s">
        <v>97</v>
      </c>
      <c r="T15" s="1369" t="s">
        <v>98</v>
      </c>
      <c r="U15" s="1364" t="s">
        <v>99</v>
      </c>
      <c r="V15" s="1366" t="s">
        <v>132</v>
      </c>
      <c r="W15" s="1366" t="s">
        <v>98</v>
      </c>
      <c r="X15" s="1503" t="s">
        <v>175</v>
      </c>
    </row>
    <row r="16" spans="1:25" s="153" customFormat="1" ht="22.5" customHeight="1">
      <c r="A16" s="1497"/>
      <c r="B16" s="1411"/>
      <c r="C16" s="1414"/>
      <c r="D16" s="1367"/>
      <c r="E16" s="1367"/>
      <c r="F16" s="1488"/>
      <c r="G16" s="1489"/>
      <c r="H16" s="1490"/>
      <c r="I16" s="1376"/>
      <c r="J16" s="1377"/>
      <c r="K16" s="1378"/>
      <c r="L16" s="1507" t="s">
        <v>108</v>
      </c>
      <c r="M16" s="1372" t="s">
        <v>109</v>
      </c>
      <c r="N16" s="1372" t="s">
        <v>110</v>
      </c>
      <c r="O16" s="1372" t="s">
        <v>111</v>
      </c>
      <c r="P16" s="1372" t="s">
        <v>96</v>
      </c>
      <c r="Q16" s="1510" t="s">
        <v>112</v>
      </c>
      <c r="R16" s="1367"/>
      <c r="S16" s="1367"/>
      <c r="T16" s="1370"/>
      <c r="U16" s="1506"/>
      <c r="V16" s="1367"/>
      <c r="W16" s="1367"/>
      <c r="X16" s="1504"/>
    </row>
    <row r="17" spans="1:256" s="153" customFormat="1" ht="22.5" customHeight="1">
      <c r="A17" s="1497"/>
      <c r="B17" s="1411"/>
      <c r="C17" s="1414"/>
      <c r="D17" s="1367"/>
      <c r="E17" s="1367"/>
      <c r="F17" s="1488"/>
      <c r="G17" s="1489"/>
      <c r="H17" s="1490"/>
      <c r="I17" s="1376"/>
      <c r="J17" s="1377"/>
      <c r="K17" s="1378"/>
      <c r="L17" s="1508"/>
      <c r="M17" s="1367"/>
      <c r="N17" s="1367"/>
      <c r="O17" s="1367"/>
      <c r="P17" s="1367"/>
      <c r="Q17" s="1511"/>
      <c r="R17" s="1367"/>
      <c r="S17" s="1367"/>
      <c r="T17" s="1370"/>
      <c r="U17" s="1506"/>
      <c r="V17" s="1367"/>
      <c r="W17" s="1367"/>
      <c r="X17" s="1504"/>
    </row>
    <row r="18" spans="1:256" s="153" customFormat="1" ht="22.5" customHeight="1">
      <c r="A18" s="1497"/>
      <c r="B18" s="1411"/>
      <c r="C18" s="1414"/>
      <c r="D18" s="1367"/>
      <c r="E18" s="1367"/>
      <c r="F18" s="1488"/>
      <c r="G18" s="1489"/>
      <c r="H18" s="1490"/>
      <c r="I18" s="1376"/>
      <c r="J18" s="1377"/>
      <c r="K18" s="1378"/>
      <c r="L18" s="1508"/>
      <c r="M18" s="1367"/>
      <c r="N18" s="1367"/>
      <c r="O18" s="1367"/>
      <c r="P18" s="1367"/>
      <c r="Q18" s="1511"/>
      <c r="R18" s="1367"/>
      <c r="S18" s="1367"/>
      <c r="T18" s="1370"/>
      <c r="U18" s="1506"/>
      <c r="V18" s="1367"/>
      <c r="W18" s="1367"/>
      <c r="X18" s="1504"/>
    </row>
    <row r="19" spans="1:256" s="153" customFormat="1" ht="22.5" customHeight="1">
      <c r="A19" s="1498"/>
      <c r="B19" s="1412"/>
      <c r="C19" s="1415"/>
      <c r="D19" s="1368"/>
      <c r="E19" s="1368"/>
      <c r="F19" s="1491"/>
      <c r="G19" s="1492"/>
      <c r="H19" s="1493"/>
      <c r="I19" s="1379"/>
      <c r="J19" s="1380"/>
      <c r="K19" s="1381"/>
      <c r="L19" s="1509"/>
      <c r="M19" s="1368"/>
      <c r="N19" s="1368"/>
      <c r="O19" s="1368"/>
      <c r="P19" s="1368"/>
      <c r="Q19" s="1512"/>
      <c r="R19" s="1368"/>
      <c r="S19" s="1368"/>
      <c r="T19" s="1371"/>
      <c r="U19" s="1506"/>
      <c r="V19" s="1368"/>
      <c r="W19" s="1368"/>
      <c r="X19" s="1505"/>
    </row>
    <row r="20" spans="1:256" s="154" customFormat="1" ht="13.5" customHeight="1" thickBot="1">
      <c r="A20" s="203">
        <v>1</v>
      </c>
      <c r="B20" s="627">
        <v>2</v>
      </c>
      <c r="C20" s="204">
        <v>2</v>
      </c>
      <c r="D20" s="627">
        <v>3</v>
      </c>
      <c r="E20" s="204">
        <v>4</v>
      </c>
      <c r="F20" s="1388">
        <v>6</v>
      </c>
      <c r="G20" s="1494"/>
      <c r="H20" s="1495"/>
      <c r="I20" s="1388">
        <v>7</v>
      </c>
      <c r="J20" s="1398"/>
      <c r="K20" s="1399"/>
      <c r="L20" s="205">
        <v>8</v>
      </c>
      <c r="M20" s="204">
        <v>9</v>
      </c>
      <c r="N20" s="204">
        <v>10</v>
      </c>
      <c r="O20" s="204">
        <v>11</v>
      </c>
      <c r="P20" s="204">
        <v>12</v>
      </c>
      <c r="Q20" s="204">
        <v>13</v>
      </c>
      <c r="R20" s="626">
        <v>14</v>
      </c>
      <c r="S20" s="204">
        <v>15</v>
      </c>
      <c r="T20" s="204">
        <v>16</v>
      </c>
      <c r="U20" s="206">
        <v>17</v>
      </c>
      <c r="V20" s="271" t="s">
        <v>133</v>
      </c>
      <c r="W20" s="272" t="s">
        <v>134</v>
      </c>
      <c r="X20" s="361">
        <v>7</v>
      </c>
    </row>
    <row r="21" spans="1:256" s="578" customFormat="1" ht="16.5" customHeight="1" thickTop="1" thickBot="1">
      <c r="A21" s="659"/>
      <c r="B21" s="826"/>
      <c r="C21" s="616" t="s">
        <v>537</v>
      </c>
      <c r="D21" s="629"/>
      <c r="E21" s="629"/>
      <c r="F21" s="630"/>
      <c r="G21" s="606"/>
      <c r="H21" s="606"/>
      <c r="I21" s="606"/>
      <c r="J21" s="606"/>
      <c r="K21" s="606"/>
      <c r="L21" s="591"/>
      <c r="M21" s="606"/>
      <c r="N21" s="606"/>
      <c r="O21" s="606"/>
      <c r="P21" s="606"/>
      <c r="Q21" s="606"/>
      <c r="R21" s="606"/>
      <c r="S21" s="606"/>
      <c r="T21" s="606"/>
      <c r="U21" s="606"/>
      <c r="V21" s="273">
        <f t="shared" ref="V21:V84" si="0">+$V$14*S21</f>
        <v>0</v>
      </c>
      <c r="W21" s="274">
        <f t="shared" ref="W21:W84" si="1">+V21*E21</f>
        <v>0</v>
      </c>
      <c r="X21" s="567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  <c r="AO21" s="573"/>
      <c r="AP21" s="573"/>
      <c r="AQ21" s="573"/>
      <c r="AR21" s="573"/>
      <c r="AS21" s="573"/>
      <c r="AT21" s="573"/>
      <c r="AU21" s="573"/>
      <c r="AV21" s="573"/>
      <c r="AW21" s="573"/>
      <c r="AX21" s="573"/>
      <c r="AY21" s="573"/>
      <c r="AZ21" s="573"/>
      <c r="BA21" s="573"/>
      <c r="BB21" s="573"/>
      <c r="BC21" s="573"/>
      <c r="BD21" s="573"/>
      <c r="BE21" s="573"/>
      <c r="BF21" s="573"/>
      <c r="BG21" s="573"/>
      <c r="BH21" s="573"/>
      <c r="BI21" s="573"/>
      <c r="BJ21" s="573"/>
      <c r="BK21" s="573"/>
      <c r="BL21" s="573"/>
      <c r="BM21" s="573"/>
      <c r="BN21" s="573"/>
      <c r="BO21" s="573"/>
      <c r="BP21" s="573"/>
      <c r="BQ21" s="573"/>
      <c r="BR21" s="573"/>
      <c r="BS21" s="573"/>
      <c r="BT21" s="573"/>
      <c r="BU21" s="573"/>
      <c r="BV21" s="573"/>
      <c r="BW21" s="573"/>
      <c r="BX21" s="573"/>
      <c r="BY21" s="573"/>
      <c r="BZ21" s="573"/>
      <c r="CA21" s="573"/>
      <c r="CB21" s="573"/>
      <c r="CC21" s="573"/>
      <c r="CD21" s="573"/>
      <c r="CE21" s="573"/>
      <c r="CF21" s="573"/>
      <c r="CG21" s="573"/>
      <c r="CH21" s="573"/>
      <c r="CI21" s="573"/>
      <c r="CJ21" s="573"/>
      <c r="CK21" s="573"/>
      <c r="CL21" s="573"/>
      <c r="CM21" s="573"/>
      <c r="CN21" s="573"/>
      <c r="CO21" s="573"/>
      <c r="CP21" s="573"/>
      <c r="CQ21" s="573"/>
      <c r="CR21" s="573"/>
      <c r="CS21" s="573"/>
      <c r="CT21" s="573"/>
      <c r="CU21" s="573"/>
      <c r="CV21" s="573"/>
      <c r="CW21" s="573"/>
      <c r="CX21" s="573"/>
      <c r="CY21" s="573"/>
      <c r="CZ21" s="573"/>
      <c r="DA21" s="573"/>
      <c r="DB21" s="573"/>
      <c r="DC21" s="573"/>
      <c r="DD21" s="573"/>
      <c r="DE21" s="573"/>
      <c r="DF21" s="573"/>
      <c r="DG21" s="573"/>
      <c r="DH21" s="573"/>
      <c r="DI21" s="573"/>
      <c r="DJ21" s="573"/>
      <c r="DK21" s="573"/>
      <c r="DL21" s="573"/>
      <c r="DM21" s="573"/>
      <c r="DN21" s="573"/>
      <c r="DO21" s="573"/>
      <c r="DP21" s="573"/>
      <c r="DQ21" s="573"/>
      <c r="DR21" s="573"/>
      <c r="DS21" s="573"/>
      <c r="DT21" s="573"/>
      <c r="DU21" s="573"/>
      <c r="DV21" s="573"/>
      <c r="DW21" s="573"/>
      <c r="DX21" s="573"/>
      <c r="DY21" s="573"/>
      <c r="DZ21" s="573"/>
      <c r="EA21" s="573"/>
      <c r="EB21" s="573"/>
      <c r="EC21" s="573"/>
      <c r="ED21" s="573"/>
      <c r="EE21" s="573"/>
      <c r="EF21" s="573"/>
      <c r="EG21" s="573"/>
      <c r="EH21" s="573"/>
      <c r="EI21" s="573"/>
      <c r="EJ21" s="573"/>
      <c r="EK21" s="573"/>
      <c r="EL21" s="573"/>
      <c r="EM21" s="573"/>
      <c r="EN21" s="573"/>
      <c r="EO21" s="573"/>
      <c r="EP21" s="573"/>
      <c r="EQ21" s="573"/>
      <c r="ER21" s="573"/>
      <c r="ES21" s="573"/>
      <c r="ET21" s="573"/>
      <c r="EU21" s="573"/>
      <c r="EV21" s="573"/>
      <c r="EW21" s="573"/>
      <c r="EX21" s="573"/>
      <c r="EY21" s="573"/>
      <c r="EZ21" s="573"/>
      <c r="FA21" s="573"/>
      <c r="FB21" s="573"/>
      <c r="FC21" s="573"/>
      <c r="FD21" s="573"/>
      <c r="FE21" s="573"/>
      <c r="FF21" s="573"/>
      <c r="FG21" s="573"/>
      <c r="FH21" s="573"/>
      <c r="FI21" s="573"/>
      <c r="FJ21" s="573"/>
      <c r="FK21" s="573"/>
      <c r="FL21" s="573"/>
      <c r="FM21" s="573"/>
      <c r="FN21" s="573"/>
      <c r="FO21" s="573"/>
      <c r="FP21" s="573"/>
      <c r="FQ21" s="573"/>
      <c r="FR21" s="573"/>
      <c r="FS21" s="573"/>
      <c r="FT21" s="573"/>
      <c r="FU21" s="573"/>
      <c r="FV21" s="573"/>
      <c r="FW21" s="573"/>
      <c r="FX21" s="573"/>
      <c r="FY21" s="573"/>
      <c r="FZ21" s="573"/>
      <c r="GA21" s="573"/>
      <c r="GB21" s="573"/>
      <c r="GC21" s="573"/>
      <c r="GD21" s="573"/>
      <c r="GE21" s="573"/>
      <c r="GF21" s="573"/>
      <c r="GG21" s="573"/>
      <c r="GH21" s="573"/>
      <c r="GI21" s="573"/>
      <c r="GJ21" s="573"/>
      <c r="GK21" s="573"/>
      <c r="GL21" s="573"/>
      <c r="GM21" s="573"/>
      <c r="GN21" s="573"/>
      <c r="GO21" s="573"/>
      <c r="GP21" s="573"/>
      <c r="GQ21" s="573"/>
      <c r="GR21" s="573"/>
      <c r="GS21" s="573"/>
      <c r="GT21" s="573"/>
      <c r="GU21" s="573"/>
      <c r="GV21" s="573"/>
      <c r="GW21" s="573"/>
      <c r="GX21" s="573"/>
      <c r="GY21" s="573"/>
      <c r="GZ21" s="573"/>
      <c r="HA21" s="573"/>
      <c r="HB21" s="573"/>
      <c r="HC21" s="573"/>
      <c r="HD21" s="573"/>
      <c r="HE21" s="573"/>
      <c r="HF21" s="573"/>
      <c r="HG21" s="573"/>
      <c r="HH21" s="573"/>
      <c r="HI21" s="573"/>
      <c r="HJ21" s="573"/>
      <c r="HK21" s="573"/>
      <c r="HL21" s="573"/>
      <c r="HM21" s="573"/>
      <c r="HN21" s="573"/>
      <c r="HO21" s="573"/>
      <c r="HP21" s="573"/>
      <c r="HQ21" s="573"/>
      <c r="HR21" s="573"/>
      <c r="HS21" s="573"/>
      <c r="HT21" s="573"/>
      <c r="HU21" s="573"/>
      <c r="HV21" s="573"/>
      <c r="HW21" s="573"/>
      <c r="HX21" s="573"/>
      <c r="HY21" s="573"/>
      <c r="HZ21" s="573"/>
      <c r="IA21" s="573"/>
      <c r="IB21" s="573"/>
      <c r="IC21" s="573"/>
      <c r="ID21" s="573"/>
      <c r="IE21" s="573"/>
      <c r="IF21" s="573"/>
      <c r="IG21" s="573"/>
      <c r="IH21" s="573"/>
      <c r="II21" s="573"/>
      <c r="IJ21" s="573"/>
      <c r="IK21" s="573"/>
      <c r="IL21" s="573"/>
      <c r="IM21" s="573"/>
      <c r="IN21" s="573"/>
      <c r="IO21" s="573"/>
      <c r="IP21" s="573"/>
      <c r="IQ21" s="573"/>
      <c r="IR21" s="573"/>
      <c r="IS21" s="573"/>
      <c r="IT21" s="573"/>
      <c r="IU21" s="573"/>
      <c r="IV21" s="573"/>
    </row>
    <row r="22" spans="1:256" s="564" customFormat="1" ht="15.75" thickTop="1">
      <c r="A22" s="634"/>
      <c r="B22" s="580"/>
      <c r="C22" s="570" t="s">
        <v>331</v>
      </c>
      <c r="D22" s="580"/>
      <c r="E22" s="580"/>
      <c r="F22" s="571"/>
      <c r="G22" s="571"/>
      <c r="H22" s="571"/>
      <c r="I22" s="571"/>
      <c r="J22" s="571"/>
      <c r="K22" s="571"/>
      <c r="L22" s="572"/>
      <c r="M22" s="579"/>
      <c r="N22" s="579"/>
      <c r="O22" s="579"/>
      <c r="P22" s="579"/>
      <c r="Q22" s="597"/>
      <c r="R22" s="607"/>
      <c r="S22" s="607"/>
      <c r="T22" s="614"/>
      <c r="U22" s="607"/>
      <c r="V22" s="273">
        <f t="shared" si="0"/>
        <v>0</v>
      </c>
      <c r="W22" s="274">
        <f t="shared" si="1"/>
        <v>0</v>
      </c>
      <c r="X22" s="567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  <c r="BG22" s="563"/>
      <c r="BH22" s="563"/>
      <c r="BI22" s="563"/>
      <c r="BJ22" s="563"/>
      <c r="BK22" s="563"/>
      <c r="BL22" s="563"/>
      <c r="BM22" s="563"/>
      <c r="BN22" s="563"/>
      <c r="BO22" s="563"/>
      <c r="BP22" s="563"/>
      <c r="BQ22" s="563"/>
      <c r="BR22" s="563"/>
      <c r="BS22" s="563"/>
      <c r="BT22" s="563"/>
      <c r="BU22" s="563"/>
      <c r="BV22" s="563"/>
      <c r="BW22" s="563"/>
      <c r="BX22" s="563"/>
      <c r="BY22" s="563"/>
      <c r="BZ22" s="563"/>
      <c r="CA22" s="563"/>
      <c r="CB22" s="563"/>
      <c r="CC22" s="563"/>
      <c r="CD22" s="563"/>
      <c r="CE22" s="563"/>
      <c r="CF22" s="563"/>
      <c r="CG22" s="563"/>
      <c r="CH22" s="563"/>
      <c r="CI22" s="563"/>
      <c r="CJ22" s="563"/>
      <c r="CK22" s="563"/>
      <c r="CL22" s="563"/>
      <c r="CM22" s="563"/>
      <c r="CN22" s="563"/>
      <c r="CO22" s="563"/>
      <c r="CP22" s="563"/>
      <c r="CQ22" s="563"/>
      <c r="CR22" s="563"/>
      <c r="CS22" s="563"/>
      <c r="CT22" s="563"/>
      <c r="CU22" s="563"/>
      <c r="CV22" s="563"/>
      <c r="CW22" s="563"/>
      <c r="CX22" s="563"/>
      <c r="CY22" s="563"/>
      <c r="CZ22" s="563"/>
      <c r="DA22" s="563"/>
      <c r="DB22" s="563"/>
      <c r="DC22" s="563"/>
      <c r="DD22" s="563"/>
      <c r="DE22" s="563"/>
      <c r="DF22" s="563"/>
      <c r="DG22" s="563"/>
      <c r="DH22" s="563"/>
      <c r="DI22" s="563"/>
      <c r="DJ22" s="563"/>
      <c r="DK22" s="563"/>
      <c r="DL22" s="563"/>
      <c r="DM22" s="563"/>
      <c r="DN22" s="563"/>
      <c r="DO22" s="563"/>
      <c r="DP22" s="563"/>
      <c r="DQ22" s="563"/>
      <c r="DR22" s="563"/>
      <c r="DS22" s="563"/>
      <c r="DT22" s="563"/>
      <c r="DU22" s="563"/>
      <c r="DV22" s="563"/>
      <c r="DW22" s="563"/>
      <c r="DX22" s="563"/>
      <c r="DY22" s="563"/>
      <c r="DZ22" s="563"/>
      <c r="EA22" s="563"/>
      <c r="EB22" s="563"/>
      <c r="EC22" s="563"/>
      <c r="ED22" s="563"/>
      <c r="EE22" s="563"/>
      <c r="EF22" s="563"/>
      <c r="EG22" s="563"/>
      <c r="EH22" s="563"/>
      <c r="EI22" s="563"/>
      <c r="EJ22" s="563"/>
      <c r="EK22" s="563"/>
      <c r="EL22" s="563"/>
      <c r="EM22" s="563"/>
      <c r="EN22" s="563"/>
      <c r="EO22" s="563"/>
      <c r="EP22" s="563"/>
      <c r="EQ22" s="563"/>
      <c r="ER22" s="563"/>
      <c r="ES22" s="563"/>
      <c r="ET22" s="563"/>
      <c r="EU22" s="563"/>
      <c r="EV22" s="563"/>
      <c r="EW22" s="563"/>
      <c r="EX22" s="563"/>
      <c r="EY22" s="563"/>
      <c r="EZ22" s="563"/>
      <c r="FA22" s="563"/>
      <c r="FB22" s="563"/>
      <c r="FC22" s="563"/>
      <c r="FD22" s="563"/>
      <c r="FE22" s="563"/>
      <c r="FF22" s="563"/>
      <c r="FG22" s="563"/>
      <c r="FH22" s="563"/>
      <c r="FI22" s="563"/>
      <c r="FJ22" s="563"/>
      <c r="FK22" s="563"/>
      <c r="FL22" s="563"/>
      <c r="FM22" s="563"/>
      <c r="FN22" s="563"/>
      <c r="FO22" s="563"/>
      <c r="FP22" s="563"/>
      <c r="FQ22" s="563"/>
      <c r="FR22" s="563"/>
      <c r="FS22" s="563"/>
      <c r="FT22" s="563"/>
      <c r="FU22" s="563"/>
      <c r="FV22" s="563"/>
      <c r="FW22" s="563"/>
      <c r="FX22" s="563"/>
      <c r="FY22" s="563"/>
      <c r="FZ22" s="563"/>
      <c r="GA22" s="563"/>
      <c r="GB22" s="563"/>
      <c r="GC22" s="563"/>
      <c r="GD22" s="563"/>
      <c r="GE22" s="563"/>
      <c r="GF22" s="563"/>
      <c r="GG22" s="563"/>
      <c r="GH22" s="563"/>
      <c r="GI22" s="563"/>
      <c r="GJ22" s="563"/>
      <c r="GK22" s="563"/>
      <c r="GL22" s="563"/>
      <c r="GM22" s="563"/>
      <c r="GN22" s="563"/>
      <c r="GO22" s="563"/>
      <c r="GP22" s="563"/>
      <c r="GQ22" s="563"/>
      <c r="GR22" s="563"/>
      <c r="GS22" s="563"/>
      <c r="GT22" s="563"/>
      <c r="GU22" s="563"/>
      <c r="GV22" s="563"/>
      <c r="GW22" s="563"/>
      <c r="GX22" s="563"/>
      <c r="GY22" s="563"/>
      <c r="GZ22" s="563"/>
      <c r="HA22" s="563"/>
      <c r="HB22" s="563"/>
      <c r="HC22" s="563"/>
      <c r="HD22" s="563"/>
      <c r="HE22" s="563"/>
      <c r="HF22" s="563"/>
      <c r="HG22" s="563"/>
      <c r="HH22" s="563"/>
      <c r="HI22" s="563"/>
      <c r="HJ22" s="563"/>
      <c r="HK22" s="563"/>
      <c r="HL22" s="563"/>
      <c r="HM22" s="563"/>
      <c r="HN22" s="563"/>
      <c r="HO22" s="563"/>
      <c r="HP22" s="563"/>
      <c r="HQ22" s="563"/>
      <c r="HR22" s="563"/>
      <c r="HS22" s="563"/>
      <c r="HT22" s="563"/>
    </row>
    <row r="23" spans="1:256" s="481" customFormat="1" ht="12.75" customHeight="1">
      <c r="A23" s="1095">
        <f>+A21+1</f>
        <v>1</v>
      </c>
      <c r="B23" s="1097" t="s">
        <v>327</v>
      </c>
      <c r="C23" s="1108" t="s">
        <v>337</v>
      </c>
      <c r="D23" s="1101" t="s">
        <v>180</v>
      </c>
      <c r="E23" s="1101">
        <v>9</v>
      </c>
      <c r="F23" s="1052">
        <f>0.001*10.6</f>
        <v>1.06E-2</v>
      </c>
      <c r="G23" s="1052"/>
      <c r="H23" s="1052"/>
      <c r="I23" s="1052">
        <f>0.001*224.4</f>
        <v>0.22440000000000002</v>
      </c>
      <c r="J23" s="1052"/>
      <c r="K23" s="1052"/>
      <c r="L23" s="387"/>
      <c r="M23" s="661"/>
      <c r="N23" s="661"/>
      <c r="O23" s="661"/>
      <c r="P23" s="662"/>
      <c r="Q23" s="389"/>
      <c r="R23" s="1044">
        <f>F24+I24</f>
        <v>0.74797076400000007</v>
      </c>
      <c r="S23" s="1044">
        <f>R23+R24</f>
        <v>0.74797076400000007</v>
      </c>
      <c r="T23" s="1044">
        <f>E23*S23</f>
        <v>6.7317368760000003</v>
      </c>
      <c r="U23" s="1105"/>
      <c r="V23" s="273">
        <f t="shared" si="0"/>
        <v>0.99325818432729285</v>
      </c>
      <c r="W23" s="274">
        <f t="shared" si="1"/>
        <v>8.9393236589456357</v>
      </c>
      <c r="X23" s="567"/>
      <c r="Y23" s="242"/>
      <c r="Z23" s="242"/>
      <c r="AA23" s="242"/>
      <c r="AB23" s="242"/>
      <c r="AC23" s="242"/>
      <c r="AD23" s="242"/>
      <c r="AE23" s="242"/>
    </row>
    <row r="24" spans="1:256" s="481" customFormat="1" ht="12.75" customHeight="1">
      <c r="A24" s="1096"/>
      <c r="B24" s="1098"/>
      <c r="C24" s="1109"/>
      <c r="D24" s="1102"/>
      <c r="E24" s="1103"/>
      <c r="F24" s="1052">
        <f>F23*$J$13/1000</f>
        <v>2.4772200000000001E-2</v>
      </c>
      <c r="G24" s="1052"/>
      <c r="H24" s="1052"/>
      <c r="I24" s="1052">
        <f>I23*$Q$13/1000</f>
        <v>0.72319856400000004</v>
      </c>
      <c r="J24" s="1052"/>
      <c r="K24" s="1052"/>
      <c r="L24" s="390"/>
      <c r="M24" s="509"/>
      <c r="N24" s="509"/>
      <c r="O24" s="509"/>
      <c r="P24" s="391"/>
      <c r="Q24" s="392"/>
      <c r="R24" s="1104"/>
      <c r="S24" s="1045"/>
      <c r="T24" s="1045"/>
      <c r="U24" s="1106"/>
      <c r="V24" s="273">
        <f t="shared" si="0"/>
        <v>0</v>
      </c>
      <c r="W24" s="274">
        <f t="shared" si="1"/>
        <v>0</v>
      </c>
      <c r="X24" s="567"/>
      <c r="Y24" s="242"/>
      <c r="Z24" s="242"/>
      <c r="AA24" s="242"/>
      <c r="AB24" s="242"/>
      <c r="AC24" s="242"/>
      <c r="AD24" s="242"/>
      <c r="AE24" s="242"/>
    </row>
    <row r="25" spans="1:256" s="481" customFormat="1" ht="12.75" customHeight="1">
      <c r="A25" s="1095">
        <f>+A23+1</f>
        <v>2</v>
      </c>
      <c r="B25" s="1097" t="s">
        <v>343</v>
      </c>
      <c r="C25" s="1099" t="s">
        <v>385</v>
      </c>
      <c r="D25" s="1101" t="s">
        <v>180</v>
      </c>
      <c r="E25" s="1101">
        <v>24</v>
      </c>
      <c r="F25" s="1052">
        <f>0.001*16.8</f>
        <v>1.6800000000000002E-2</v>
      </c>
      <c r="G25" s="1052"/>
      <c r="H25" s="1052"/>
      <c r="I25" s="1052">
        <f>0.001*355.2</f>
        <v>0.35520000000000002</v>
      </c>
      <c r="J25" s="1052"/>
      <c r="K25" s="1052"/>
      <c r="L25" s="387"/>
      <c r="M25" s="661"/>
      <c r="N25" s="661"/>
      <c r="O25" s="661"/>
      <c r="P25" s="662"/>
      <c r="Q25" s="389"/>
      <c r="R25" s="1044">
        <f>F26+I26</f>
        <v>1.184003712</v>
      </c>
      <c r="S25" s="1044">
        <f>R25+R26</f>
        <v>1.184003712</v>
      </c>
      <c r="T25" s="1044">
        <f>E25*S25</f>
        <v>28.416089088</v>
      </c>
      <c r="U25" s="1105"/>
      <c r="V25" s="273">
        <f t="shared" si="0"/>
        <v>1.5722825460834386</v>
      </c>
      <c r="W25" s="274">
        <f t="shared" si="1"/>
        <v>37.734781106002529</v>
      </c>
      <c r="X25" s="567"/>
      <c r="Y25" s="242"/>
      <c r="Z25" s="242"/>
      <c r="AA25" s="242"/>
      <c r="AB25" s="242"/>
      <c r="AC25" s="242"/>
      <c r="AD25" s="242"/>
      <c r="AE25" s="242"/>
    </row>
    <row r="26" spans="1:256" s="481" customFormat="1" ht="12.75" customHeight="1">
      <c r="A26" s="1096"/>
      <c r="B26" s="1098"/>
      <c r="C26" s="1100"/>
      <c r="D26" s="1102"/>
      <c r="E26" s="1103"/>
      <c r="F26" s="1052">
        <f>F25*$J$13/1000</f>
        <v>3.9261600000000008E-2</v>
      </c>
      <c r="G26" s="1052"/>
      <c r="H26" s="1052"/>
      <c r="I26" s="1052">
        <f>I25*$Q$13/1000</f>
        <v>1.1447421120000001</v>
      </c>
      <c r="J26" s="1052"/>
      <c r="K26" s="1052"/>
      <c r="L26" s="390"/>
      <c r="M26" s="509"/>
      <c r="N26" s="509"/>
      <c r="O26" s="509"/>
      <c r="P26" s="391"/>
      <c r="Q26" s="392"/>
      <c r="R26" s="1104"/>
      <c r="S26" s="1045"/>
      <c r="T26" s="1045"/>
      <c r="U26" s="1106"/>
      <c r="V26" s="273">
        <f t="shared" si="0"/>
        <v>0</v>
      </c>
      <c r="W26" s="274">
        <f t="shared" si="1"/>
        <v>0</v>
      </c>
      <c r="X26" s="567"/>
      <c r="Y26" s="242"/>
      <c r="Z26" s="242"/>
      <c r="AA26" s="242"/>
      <c r="AB26" s="242"/>
      <c r="AC26" s="242"/>
      <c r="AD26" s="242"/>
      <c r="AE26" s="242"/>
    </row>
    <row r="27" spans="1:256" s="420" customFormat="1" ht="12.75" customHeight="1">
      <c r="A27" s="1095">
        <f>+A25+1</f>
        <v>3</v>
      </c>
      <c r="B27" s="1097" t="s">
        <v>332</v>
      </c>
      <c r="C27" s="1108" t="s">
        <v>342</v>
      </c>
      <c r="D27" s="1101" t="s">
        <v>180</v>
      </c>
      <c r="E27" s="1101">
        <v>33</v>
      </c>
      <c r="F27" s="1052"/>
      <c r="G27" s="1052"/>
      <c r="H27" s="1052"/>
      <c r="I27" s="1052">
        <f>0.001*25</f>
        <v>2.5000000000000001E-2</v>
      </c>
      <c r="J27" s="1052"/>
      <c r="K27" s="1052"/>
      <c r="L27" s="387"/>
      <c r="M27" s="668"/>
      <c r="N27" s="669"/>
      <c r="O27" s="669"/>
      <c r="P27" s="662"/>
      <c r="Q27" s="397"/>
      <c r="R27" s="1044">
        <f>F28+I28</f>
        <v>8.0570249999999996E-2</v>
      </c>
      <c r="S27" s="1044">
        <f>R27+R28</f>
        <v>8.0570249999999996E-2</v>
      </c>
      <c r="T27" s="1044">
        <f>E27*S27</f>
        <v>2.6588182499999999</v>
      </c>
      <c r="U27" s="1046"/>
      <c r="V27" s="273">
        <f t="shared" si="0"/>
        <v>0.10699223028160504</v>
      </c>
      <c r="W27" s="274">
        <f t="shared" si="1"/>
        <v>3.5307435992929661</v>
      </c>
      <c r="X27" s="567"/>
      <c r="Y27" s="242"/>
      <c r="Z27" s="242"/>
      <c r="AA27" s="242"/>
      <c r="AB27" s="242"/>
      <c r="AC27" s="242"/>
      <c r="AD27" s="242"/>
      <c r="AE27" s="242"/>
    </row>
    <row r="28" spans="1:256" s="420" customFormat="1" ht="12.75" customHeight="1">
      <c r="A28" s="1107"/>
      <c r="B28" s="1098"/>
      <c r="C28" s="1109"/>
      <c r="D28" s="1102"/>
      <c r="E28" s="1102"/>
      <c r="F28" s="1052"/>
      <c r="G28" s="1052"/>
      <c r="H28" s="1052"/>
      <c r="I28" s="1052">
        <f>I27*$Q$13/1000</f>
        <v>8.0570249999999996E-2</v>
      </c>
      <c r="J28" s="1052"/>
      <c r="K28" s="1052"/>
      <c r="L28" s="390"/>
      <c r="M28" s="401"/>
      <c r="N28" s="402"/>
      <c r="O28" s="402"/>
      <c r="P28" s="391"/>
      <c r="Q28" s="403"/>
      <c r="R28" s="1045"/>
      <c r="S28" s="1045"/>
      <c r="T28" s="1045"/>
      <c r="U28" s="1047"/>
      <c r="V28" s="273">
        <f t="shared" si="0"/>
        <v>0</v>
      </c>
      <c r="W28" s="274">
        <f t="shared" si="1"/>
        <v>0</v>
      </c>
      <c r="X28" s="567"/>
      <c r="Y28" s="242"/>
      <c r="Z28" s="242"/>
      <c r="AA28" s="242"/>
      <c r="AB28" s="242"/>
      <c r="AC28" s="242"/>
      <c r="AD28" s="242"/>
      <c r="AE28" s="242"/>
    </row>
    <row r="29" spans="1:256" s="564" customFormat="1" ht="19.5" customHeight="1">
      <c r="B29" s="771"/>
      <c r="C29" s="663" t="s">
        <v>387</v>
      </c>
      <c r="D29" s="664"/>
      <c r="E29" s="664"/>
      <c r="F29" s="778"/>
      <c r="G29" s="665"/>
      <c r="H29" s="665"/>
      <c r="I29" s="665"/>
      <c r="J29" s="665"/>
      <c r="K29" s="899"/>
      <c r="L29" s="900"/>
      <c r="M29" s="899"/>
      <c r="N29" s="899"/>
      <c r="O29" s="899"/>
      <c r="P29" s="899"/>
      <c r="Q29" s="899"/>
      <c r="R29" s="899"/>
      <c r="S29" s="899"/>
      <c r="T29" s="901"/>
      <c r="U29" s="902"/>
      <c r="V29" s="273">
        <f t="shared" si="0"/>
        <v>0</v>
      </c>
      <c r="W29" s="274">
        <f t="shared" si="1"/>
        <v>0</v>
      </c>
      <c r="X29" s="567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  <c r="BG29" s="563"/>
      <c r="BH29" s="563"/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563"/>
      <c r="CF29" s="563"/>
      <c r="CG29" s="563"/>
      <c r="CH29" s="563"/>
      <c r="CI29" s="563"/>
      <c r="CJ29" s="563"/>
      <c r="CK29" s="563"/>
      <c r="CL29" s="563"/>
      <c r="CM29" s="563"/>
      <c r="CN29" s="563"/>
      <c r="CO29" s="563"/>
      <c r="CP29" s="563"/>
      <c r="CQ29" s="563"/>
      <c r="CR29" s="563"/>
      <c r="CS29" s="563"/>
      <c r="CT29" s="563"/>
      <c r="CU29" s="563"/>
      <c r="CV29" s="563"/>
      <c r="CW29" s="563"/>
      <c r="CX29" s="563"/>
      <c r="CY29" s="563"/>
      <c r="CZ29" s="563"/>
      <c r="DA29" s="563"/>
      <c r="DB29" s="563"/>
      <c r="DC29" s="563"/>
      <c r="DD29" s="563"/>
      <c r="DE29" s="563"/>
      <c r="DF29" s="563"/>
      <c r="DG29" s="563"/>
      <c r="DH29" s="563"/>
      <c r="DI29" s="563"/>
      <c r="DJ29" s="563"/>
      <c r="DK29" s="563"/>
      <c r="DL29" s="563"/>
      <c r="DM29" s="563"/>
      <c r="DN29" s="563"/>
      <c r="DO29" s="563"/>
      <c r="DP29" s="563"/>
      <c r="DQ29" s="563"/>
      <c r="DR29" s="563"/>
      <c r="DS29" s="563"/>
      <c r="DT29" s="563"/>
      <c r="DU29" s="563"/>
      <c r="DV29" s="563"/>
      <c r="DW29" s="563"/>
      <c r="DX29" s="563"/>
      <c r="DY29" s="563"/>
      <c r="DZ29" s="563"/>
      <c r="EA29" s="563"/>
      <c r="EB29" s="563"/>
      <c r="EC29" s="563"/>
      <c r="ED29" s="563"/>
      <c r="EE29" s="563"/>
      <c r="EF29" s="563"/>
      <c r="EG29" s="563"/>
      <c r="EH29" s="563"/>
      <c r="EI29" s="563"/>
      <c r="EJ29" s="563"/>
      <c r="EK29" s="563"/>
      <c r="EL29" s="563"/>
      <c r="EM29" s="563"/>
      <c r="EN29" s="563"/>
      <c r="EO29" s="563"/>
      <c r="EP29" s="563"/>
      <c r="EQ29" s="563"/>
      <c r="ER29" s="563"/>
      <c r="ES29" s="563"/>
      <c r="ET29" s="563"/>
      <c r="EU29" s="563"/>
      <c r="EV29" s="563"/>
      <c r="EW29" s="563"/>
      <c r="EX29" s="563"/>
      <c r="EY29" s="563"/>
      <c r="EZ29" s="563"/>
      <c r="FA29" s="563"/>
      <c r="FB29" s="563"/>
      <c r="FC29" s="563"/>
      <c r="FD29" s="563"/>
      <c r="FE29" s="563"/>
      <c r="FF29" s="563"/>
      <c r="FG29" s="563"/>
      <c r="FH29" s="563"/>
      <c r="FI29" s="563"/>
      <c r="FJ29" s="563"/>
      <c r="FK29" s="563"/>
      <c r="FL29" s="563"/>
      <c r="FM29" s="563"/>
      <c r="FN29" s="563"/>
      <c r="FO29" s="563"/>
      <c r="FP29" s="563"/>
      <c r="FQ29" s="563"/>
      <c r="FR29" s="563"/>
      <c r="FS29" s="563"/>
      <c r="FT29" s="563"/>
      <c r="FU29" s="563"/>
      <c r="FV29" s="563"/>
      <c r="FW29" s="563"/>
      <c r="FX29" s="563"/>
      <c r="FY29" s="563"/>
      <c r="FZ29" s="563"/>
      <c r="GA29" s="563"/>
      <c r="GB29" s="563"/>
      <c r="GC29" s="563"/>
      <c r="GD29" s="563"/>
      <c r="GE29" s="563"/>
      <c r="GF29" s="563"/>
      <c r="GG29" s="563"/>
      <c r="GH29" s="563"/>
      <c r="GI29" s="563"/>
      <c r="GJ29" s="563"/>
      <c r="GK29" s="563"/>
      <c r="GL29" s="563"/>
      <c r="GM29" s="563"/>
      <c r="GN29" s="563"/>
      <c r="GO29" s="563"/>
      <c r="GP29" s="563"/>
      <c r="GQ29" s="563"/>
      <c r="GR29" s="563"/>
      <c r="GS29" s="563"/>
      <c r="GT29" s="563"/>
      <c r="GU29" s="563"/>
      <c r="GV29" s="563"/>
      <c r="GW29" s="563"/>
      <c r="GX29" s="563"/>
      <c r="GY29" s="563"/>
      <c r="GZ29" s="563"/>
      <c r="HA29" s="563"/>
      <c r="HB29" s="563"/>
      <c r="HC29" s="563"/>
      <c r="HD29" s="563"/>
      <c r="HE29" s="563"/>
      <c r="HF29" s="563"/>
      <c r="HG29" s="563"/>
      <c r="HH29" s="563"/>
      <c r="HI29" s="563"/>
      <c r="HJ29" s="563"/>
      <c r="HK29" s="563"/>
      <c r="HL29" s="563"/>
      <c r="HM29" s="563"/>
      <c r="HN29" s="563"/>
      <c r="HO29" s="563"/>
      <c r="HP29" s="563"/>
      <c r="HQ29" s="563"/>
      <c r="HR29" s="563"/>
      <c r="HS29" s="563"/>
      <c r="HT29" s="563"/>
      <c r="HU29" s="563"/>
      <c r="HV29" s="563"/>
      <c r="HW29" s="563"/>
      <c r="HX29" s="563"/>
      <c r="HY29" s="563"/>
      <c r="HZ29" s="563"/>
      <c r="IA29" s="563"/>
      <c r="IB29" s="563"/>
      <c r="IC29" s="563"/>
      <c r="ID29" s="563"/>
      <c r="IE29" s="563"/>
      <c r="IF29" s="563"/>
      <c r="IG29" s="563"/>
      <c r="IH29" s="563"/>
      <c r="II29" s="563"/>
      <c r="IJ29" s="563"/>
      <c r="IK29" s="563"/>
      <c r="IL29" s="563"/>
      <c r="IM29" s="563"/>
      <c r="IN29" s="563"/>
      <c r="IO29" s="563"/>
      <c r="IP29" s="563"/>
      <c r="IQ29" s="563"/>
      <c r="IR29" s="563"/>
      <c r="IS29" s="563"/>
      <c r="IT29" s="563"/>
      <c r="IU29" s="563"/>
      <c r="IV29" s="563"/>
    </row>
    <row r="30" spans="1:256" s="730" customFormat="1" ht="27" customHeight="1">
      <c r="A30" s="1005">
        <f>+A27+1</f>
        <v>4</v>
      </c>
      <c r="B30" s="1008" t="s">
        <v>388</v>
      </c>
      <c r="C30" s="1011" t="s">
        <v>390</v>
      </c>
      <c r="D30" s="1014" t="s">
        <v>180</v>
      </c>
      <c r="E30" s="1027">
        <v>1.07</v>
      </c>
      <c r="F30" s="1027">
        <v>0.7</v>
      </c>
      <c r="G30" s="1029"/>
      <c r="H30" s="1029"/>
      <c r="I30" s="1027">
        <v>0.28000000000000003</v>
      </c>
      <c r="J30" s="1029"/>
      <c r="K30" s="1030"/>
      <c r="L30" s="864"/>
      <c r="M30" s="728"/>
      <c r="N30" s="370"/>
      <c r="O30" s="791"/>
      <c r="P30" s="577"/>
      <c r="Q30" s="792"/>
      <c r="R30" s="784">
        <f>F31+I31</f>
        <v>2.5382867999999998</v>
      </c>
      <c r="S30" s="988">
        <f>R30+R31</f>
        <v>31.535656647054012</v>
      </c>
      <c r="T30" s="988">
        <f>E30*S30</f>
        <v>33.743152612347792</v>
      </c>
      <c r="U30" s="1031">
        <f>R31*E30</f>
        <v>31.027185736347793</v>
      </c>
      <c r="V30" s="273">
        <f t="shared" si="0"/>
        <v>41.877370841758982</v>
      </c>
      <c r="W30" s="274">
        <f t="shared" si="1"/>
        <v>44.808786800682114</v>
      </c>
      <c r="X30" s="567"/>
      <c r="Y30" s="865"/>
      <c r="Z30" s="865"/>
      <c r="AA30" s="865"/>
      <c r="AB30" s="729"/>
      <c r="AC30" s="729"/>
      <c r="AD30" s="729"/>
      <c r="AE30" s="729"/>
    </row>
    <row r="31" spans="1:256" s="730" customFormat="1" ht="22.5" customHeight="1">
      <c r="A31" s="1024"/>
      <c r="B31" s="1025"/>
      <c r="C31" s="1026"/>
      <c r="D31" s="1016"/>
      <c r="E31" s="1028"/>
      <c r="F31" s="1027">
        <f>F30*$J$13/1000</f>
        <v>1.6358999999999999</v>
      </c>
      <c r="G31" s="1029"/>
      <c r="H31" s="1029"/>
      <c r="I31" s="1027">
        <f>I30*$Q$13/1000</f>
        <v>0.90238680000000016</v>
      </c>
      <c r="J31" s="1029"/>
      <c r="K31" s="1029"/>
      <c r="L31" s="743" t="s">
        <v>356</v>
      </c>
      <c r="M31" s="250" t="s">
        <v>180</v>
      </c>
      <c r="N31" s="265">
        <v>1.02</v>
      </c>
      <c r="O31" s="265">
        <f>E30*N31</f>
        <v>1.0914000000000001</v>
      </c>
      <c r="P31" s="236">
        <v>24.667000000000002</v>
      </c>
      <c r="Q31" s="233">
        <f>N31*P31*$N$11</f>
        <v>28.99736984705401</v>
      </c>
      <c r="R31" s="789">
        <f>SUM(Q31:Q31)</f>
        <v>28.99736984705401</v>
      </c>
      <c r="S31" s="1025"/>
      <c r="T31" s="1025"/>
      <c r="U31" s="1032"/>
      <c r="V31" s="273">
        <f t="shared" si="0"/>
        <v>0</v>
      </c>
      <c r="W31" s="274">
        <f t="shared" si="1"/>
        <v>0</v>
      </c>
      <c r="X31" s="567"/>
      <c r="Y31" s="865"/>
      <c r="Z31" s="865"/>
      <c r="AA31" s="865"/>
      <c r="AB31" s="729"/>
      <c r="AC31" s="729"/>
      <c r="AD31" s="729"/>
      <c r="AE31" s="729"/>
    </row>
    <row r="32" spans="1:256" s="405" customFormat="1" ht="12.75" customHeight="1">
      <c r="A32" s="1005">
        <f>+A30+1</f>
        <v>5</v>
      </c>
      <c r="B32" s="1008" t="s">
        <v>344</v>
      </c>
      <c r="C32" s="1011" t="s">
        <v>396</v>
      </c>
      <c r="D32" s="1014" t="s">
        <v>180</v>
      </c>
      <c r="E32" s="987">
        <v>1.63</v>
      </c>
      <c r="F32" s="990">
        <v>1</v>
      </c>
      <c r="G32" s="991"/>
      <c r="H32" s="992"/>
      <c r="I32" s="993">
        <v>0.77</v>
      </c>
      <c r="J32" s="994"/>
      <c r="K32" s="995"/>
      <c r="L32" s="635"/>
      <c r="M32" s="898"/>
      <c r="N32" s="404"/>
      <c r="O32" s="797"/>
      <c r="P32" s="797"/>
      <c r="Q32" s="786"/>
      <c r="R32" s="794">
        <f>F33+I33</f>
        <v>4.8185637000000003</v>
      </c>
      <c r="S32" s="987">
        <f>R32+R33</f>
        <v>69.54698254634161</v>
      </c>
      <c r="T32" s="987">
        <f>E32*S32</f>
        <v>113.36158155053681</v>
      </c>
      <c r="U32" s="1017">
        <f t="shared" ref="U32" si="2">E32*R33</f>
        <v>105.50732271953682</v>
      </c>
      <c r="V32" s="273">
        <f t="shared" si="0"/>
        <v>92.354023625208413</v>
      </c>
      <c r="W32" s="274">
        <f t="shared" si="1"/>
        <v>150.53705850908969</v>
      </c>
      <c r="X32" s="567"/>
    </row>
    <row r="33" spans="1:37" s="405" customFormat="1" ht="12.75">
      <c r="A33" s="1006"/>
      <c r="B33" s="1009"/>
      <c r="C33" s="1012"/>
      <c r="D33" s="1015"/>
      <c r="E33" s="988"/>
      <c r="F33" s="1020">
        <f>F32*J$13/1000</f>
        <v>2.3370000000000002</v>
      </c>
      <c r="G33" s="1020"/>
      <c r="H33" s="1020"/>
      <c r="I33" s="1020">
        <f>I32*$Q$13/1000</f>
        <v>2.4815637000000001</v>
      </c>
      <c r="J33" s="1020"/>
      <c r="K33" s="1020"/>
      <c r="L33" s="249" t="s">
        <v>394</v>
      </c>
      <c r="M33" s="250" t="s">
        <v>184</v>
      </c>
      <c r="N33" s="406">
        <v>1.0149999999999999</v>
      </c>
      <c r="O33" s="252">
        <f>E32*N33</f>
        <v>1.6544499999999998</v>
      </c>
      <c r="P33" s="236">
        <v>55</v>
      </c>
      <c r="Q33" s="253">
        <f>N33*P33*$N$11</f>
        <v>64.338485557500007</v>
      </c>
      <c r="R33" s="987">
        <f>SUM(Q33:Q35)</f>
        <v>64.728418846341611</v>
      </c>
      <c r="S33" s="988"/>
      <c r="T33" s="988"/>
      <c r="U33" s="1018"/>
      <c r="V33" s="273">
        <f t="shared" si="0"/>
        <v>0</v>
      </c>
      <c r="W33" s="274">
        <f t="shared" si="1"/>
        <v>0</v>
      </c>
      <c r="X33" s="567"/>
    </row>
    <row r="34" spans="1:37" s="405" customFormat="1" ht="12.75">
      <c r="A34" s="1006"/>
      <c r="B34" s="1009"/>
      <c r="C34" s="1012"/>
      <c r="D34" s="1015"/>
      <c r="E34" s="988"/>
      <c r="F34" s="1020"/>
      <c r="G34" s="1020"/>
      <c r="H34" s="1020"/>
      <c r="I34" s="1020"/>
      <c r="J34" s="1020"/>
      <c r="K34" s="1020"/>
      <c r="L34" s="450" t="s">
        <v>185</v>
      </c>
      <c r="M34" s="260" t="s">
        <v>186</v>
      </c>
      <c r="N34" s="407">
        <v>7.0000000000000007E-2</v>
      </c>
      <c r="O34" s="261">
        <f>E32*N34</f>
        <v>0.11410000000000001</v>
      </c>
      <c r="P34" s="237">
        <v>3.5</v>
      </c>
      <c r="Q34" s="412">
        <f>N34*P34*$N$11</f>
        <v>0.28236325950000013</v>
      </c>
      <c r="R34" s="988"/>
      <c r="S34" s="988"/>
      <c r="T34" s="988"/>
      <c r="U34" s="1018"/>
      <c r="V34" s="273">
        <f t="shared" si="0"/>
        <v>0</v>
      </c>
      <c r="W34" s="274">
        <f t="shared" si="1"/>
        <v>0</v>
      </c>
      <c r="X34" s="567"/>
    </row>
    <row r="35" spans="1:37" s="405" customFormat="1" ht="13.5" customHeight="1">
      <c r="A35" s="1007"/>
      <c r="B35" s="1010"/>
      <c r="C35" s="1013"/>
      <c r="D35" s="1016"/>
      <c r="E35" s="989"/>
      <c r="F35" s="1020"/>
      <c r="G35" s="1020"/>
      <c r="H35" s="1020"/>
      <c r="I35" s="1020"/>
      <c r="J35" s="1020"/>
      <c r="K35" s="1020"/>
      <c r="L35" s="263" t="s">
        <v>187</v>
      </c>
      <c r="M35" s="254" t="s">
        <v>184</v>
      </c>
      <c r="N35" s="408">
        <v>8.0000000000000004E-4</v>
      </c>
      <c r="O35" s="256">
        <f>E32*N35</f>
        <v>1.304E-3</v>
      </c>
      <c r="P35" s="411">
        <v>116.67</v>
      </c>
      <c r="Q35" s="258">
        <f>N35*P35*$N$11</f>
        <v>0.10757002934160004</v>
      </c>
      <c r="R35" s="989"/>
      <c r="S35" s="989"/>
      <c r="T35" s="989"/>
      <c r="U35" s="1019"/>
      <c r="V35" s="273">
        <f t="shared" si="0"/>
        <v>0</v>
      </c>
      <c r="W35" s="274">
        <f t="shared" si="1"/>
        <v>0</v>
      </c>
      <c r="X35" s="567"/>
    </row>
    <row r="36" spans="1:37" s="694" customFormat="1" ht="12.75" customHeight="1">
      <c r="A36" s="1000">
        <f>+A32+1</f>
        <v>6</v>
      </c>
      <c r="B36" s="1001" t="s">
        <v>191</v>
      </c>
      <c r="C36" s="965" t="s">
        <v>392</v>
      </c>
      <c r="D36" s="966" t="s">
        <v>326</v>
      </c>
      <c r="E36" s="1003">
        <v>8.5000000000000006E-2</v>
      </c>
      <c r="F36" s="967"/>
      <c r="G36" s="967"/>
      <c r="H36" s="967"/>
      <c r="I36" s="1004"/>
      <c r="J36" s="1004"/>
      <c r="K36" s="1004"/>
      <c r="L36" s="673"/>
      <c r="M36" s="674"/>
      <c r="N36" s="675"/>
      <c r="O36" s="676"/>
      <c r="P36" s="676"/>
      <c r="Q36" s="677"/>
      <c r="R36" s="788">
        <f>F37+I37</f>
        <v>0</v>
      </c>
      <c r="S36" s="999">
        <f>R36+R37</f>
        <v>409.7793922236001</v>
      </c>
      <c r="T36" s="999">
        <f>E36*S36</f>
        <v>34.831248339006009</v>
      </c>
      <c r="U36" s="964">
        <f>R37*E36</f>
        <v>34.831248339006009</v>
      </c>
      <c r="V36" s="273">
        <f t="shared" si="0"/>
        <v>544.16128902968001</v>
      </c>
      <c r="W36" s="274">
        <f t="shared" si="1"/>
        <v>46.253709567522804</v>
      </c>
      <c r="X36" s="567"/>
      <c r="Y36" s="693"/>
      <c r="Z36" s="693"/>
      <c r="AA36" s="693"/>
      <c r="AB36" s="693"/>
      <c r="AC36" s="693"/>
      <c r="AD36" s="693"/>
      <c r="AE36" s="693"/>
      <c r="AF36" s="693"/>
      <c r="AG36" s="693"/>
      <c r="AH36" s="693"/>
      <c r="AI36" s="693"/>
      <c r="AJ36" s="693"/>
      <c r="AK36" s="693"/>
    </row>
    <row r="37" spans="1:37" s="694" customFormat="1" ht="12.75" customHeight="1">
      <c r="A37" s="1000"/>
      <c r="B37" s="1002"/>
      <c r="C37" s="965"/>
      <c r="D37" s="966"/>
      <c r="E37" s="1003"/>
      <c r="F37" s="967"/>
      <c r="G37" s="967"/>
      <c r="H37" s="967"/>
      <c r="I37" s="967"/>
      <c r="J37" s="967"/>
      <c r="K37" s="967"/>
      <c r="L37" s="682" t="s">
        <v>392</v>
      </c>
      <c r="M37" s="683" t="s">
        <v>326</v>
      </c>
      <c r="N37" s="684">
        <v>1</v>
      </c>
      <c r="O37" s="685">
        <f>E36*N37</f>
        <v>8.5000000000000006E-2</v>
      </c>
      <c r="P37" s="686">
        <v>355.55599999999998</v>
      </c>
      <c r="Q37" s="687">
        <f>N37*P37*$N$11</f>
        <v>409.7793922236001</v>
      </c>
      <c r="R37" s="788">
        <f>SUM(Q37:Q37)</f>
        <v>409.7793922236001</v>
      </c>
      <c r="S37" s="999"/>
      <c r="T37" s="999"/>
      <c r="U37" s="964"/>
      <c r="V37" s="273">
        <f t="shared" si="0"/>
        <v>0</v>
      </c>
      <c r="W37" s="274">
        <f t="shared" si="1"/>
        <v>0</v>
      </c>
      <c r="X37" s="567"/>
      <c r="Y37" s="693"/>
      <c r="Z37" s="693"/>
      <c r="AA37" s="693"/>
      <c r="AB37" s="693"/>
      <c r="AC37" s="693"/>
      <c r="AD37" s="693"/>
      <c r="AE37" s="693"/>
      <c r="AF37" s="693"/>
      <c r="AG37" s="693"/>
      <c r="AH37" s="693"/>
      <c r="AI37" s="693"/>
      <c r="AJ37" s="693"/>
      <c r="AK37" s="693"/>
    </row>
    <row r="38" spans="1:37" s="694" customFormat="1" ht="12.75" customHeight="1">
      <c r="A38" s="1000">
        <f>+A32+1</f>
        <v>6</v>
      </c>
      <c r="B38" s="1001" t="s">
        <v>191</v>
      </c>
      <c r="C38" s="965" t="s">
        <v>393</v>
      </c>
      <c r="D38" s="966" t="s">
        <v>326</v>
      </c>
      <c r="E38" s="1003">
        <v>4.0000000000000001E-3</v>
      </c>
      <c r="F38" s="967"/>
      <c r="G38" s="967"/>
      <c r="H38" s="967"/>
      <c r="I38" s="1004"/>
      <c r="J38" s="1004"/>
      <c r="K38" s="1004"/>
      <c r="L38" s="673"/>
      <c r="M38" s="674"/>
      <c r="N38" s="675"/>
      <c r="O38" s="676"/>
      <c r="P38" s="676"/>
      <c r="Q38" s="677"/>
      <c r="R38" s="788">
        <f>F39+I39</f>
        <v>0</v>
      </c>
      <c r="S38" s="999">
        <f>R38+R39</f>
        <v>352.95407437500012</v>
      </c>
      <c r="T38" s="999">
        <f>E38*S38</f>
        <v>1.4118162975000006</v>
      </c>
      <c r="U38" s="964">
        <f>R39*E38</f>
        <v>1.4118162975000006</v>
      </c>
      <c r="V38" s="273">
        <f t="shared" si="0"/>
        <v>468.70083690147129</v>
      </c>
      <c r="W38" s="274">
        <f t="shared" si="1"/>
        <v>1.8748033476058852</v>
      </c>
      <c r="X38" s="567"/>
      <c r="Y38" s="693"/>
      <c r="Z38" s="693"/>
      <c r="AA38" s="693"/>
      <c r="AB38" s="693"/>
      <c r="AC38" s="693"/>
      <c r="AD38" s="693"/>
      <c r="AE38" s="693"/>
      <c r="AF38" s="693"/>
      <c r="AG38" s="693"/>
      <c r="AH38" s="693"/>
      <c r="AI38" s="693"/>
      <c r="AJ38" s="693"/>
      <c r="AK38" s="693"/>
    </row>
    <row r="39" spans="1:37" s="694" customFormat="1" ht="12.75" customHeight="1">
      <c r="A39" s="1000"/>
      <c r="B39" s="1002"/>
      <c r="C39" s="965"/>
      <c r="D39" s="966"/>
      <c r="E39" s="1003"/>
      <c r="F39" s="967"/>
      <c r="G39" s="967"/>
      <c r="H39" s="967"/>
      <c r="I39" s="967"/>
      <c r="J39" s="967"/>
      <c r="K39" s="967"/>
      <c r="L39" s="682" t="s">
        <v>393</v>
      </c>
      <c r="M39" s="683" t="s">
        <v>326</v>
      </c>
      <c r="N39" s="684">
        <v>1</v>
      </c>
      <c r="O39" s="685">
        <f>E38*N39</f>
        <v>4.0000000000000001E-3</v>
      </c>
      <c r="P39" s="686">
        <v>306.25</v>
      </c>
      <c r="Q39" s="687">
        <f>N39*P39*$N$11</f>
        <v>352.95407437500012</v>
      </c>
      <c r="R39" s="788">
        <f>SUM(Q39:Q39)</f>
        <v>352.95407437500012</v>
      </c>
      <c r="S39" s="999"/>
      <c r="T39" s="999"/>
      <c r="U39" s="964"/>
      <c r="V39" s="273">
        <f t="shared" si="0"/>
        <v>0</v>
      </c>
      <c r="W39" s="274">
        <f t="shared" si="1"/>
        <v>0</v>
      </c>
      <c r="X39" s="567"/>
      <c r="Y39" s="693"/>
      <c r="Z39" s="693"/>
      <c r="AA39" s="693"/>
      <c r="AB39" s="693"/>
      <c r="AC39" s="693"/>
      <c r="AD39" s="693"/>
      <c r="AE39" s="693"/>
      <c r="AF39" s="693"/>
      <c r="AG39" s="693"/>
      <c r="AH39" s="693"/>
      <c r="AI39" s="693"/>
      <c r="AJ39" s="693"/>
      <c r="AK39" s="693"/>
    </row>
    <row r="40" spans="1:37" s="470" customFormat="1" ht="12.75" customHeight="1">
      <c r="A40" s="1005">
        <f>+A38+1</f>
        <v>7</v>
      </c>
      <c r="B40" s="1008" t="s">
        <v>395</v>
      </c>
      <c r="C40" s="1011" t="s">
        <v>400</v>
      </c>
      <c r="D40" s="1014" t="s">
        <v>180</v>
      </c>
      <c r="E40" s="987">
        <v>5.32</v>
      </c>
      <c r="F40" s="990">
        <v>7.63</v>
      </c>
      <c r="G40" s="991"/>
      <c r="H40" s="992"/>
      <c r="I40" s="993">
        <v>1.43</v>
      </c>
      <c r="J40" s="994"/>
      <c r="K40" s="995"/>
      <c r="L40" s="660"/>
      <c r="M40" s="898"/>
      <c r="N40" s="797"/>
      <c r="O40" s="797"/>
      <c r="P40" s="797"/>
      <c r="Q40" s="786"/>
      <c r="R40" s="794">
        <f>F41+I41</f>
        <v>22.439928300000002</v>
      </c>
      <c r="S40" s="987">
        <f>R40+R41</f>
        <v>113.57364993126004</v>
      </c>
      <c r="T40" s="987">
        <f>E40*S40</f>
        <v>604.21181763430343</v>
      </c>
      <c r="U40" s="1017">
        <f t="shared" ref="U40" si="3">E40*R41</f>
        <v>484.83139907830338</v>
      </c>
      <c r="V40" s="273">
        <f t="shared" si="0"/>
        <v>150.81867199577724</v>
      </c>
      <c r="W40" s="274">
        <f t="shared" si="1"/>
        <v>802.35533501753491</v>
      </c>
      <c r="X40" s="567"/>
      <c r="Y40" s="405"/>
      <c r="Z40" s="405"/>
      <c r="AA40" s="405"/>
      <c r="AB40" s="405"/>
      <c r="AC40" s="405"/>
      <c r="AD40" s="405"/>
      <c r="AE40" s="405"/>
    </row>
    <row r="41" spans="1:37" s="470" customFormat="1" ht="12.75">
      <c r="A41" s="1006"/>
      <c r="B41" s="1009"/>
      <c r="C41" s="1012"/>
      <c r="D41" s="1015"/>
      <c r="E41" s="988"/>
      <c r="F41" s="1020">
        <f>F40*J$13/1000</f>
        <v>17.831310000000002</v>
      </c>
      <c r="G41" s="1020"/>
      <c r="H41" s="1020"/>
      <c r="I41" s="1020">
        <f>I40*$Q$13/1000</f>
        <v>4.6086182999999998</v>
      </c>
      <c r="J41" s="1020"/>
      <c r="K41" s="1020"/>
      <c r="L41" s="249" t="s">
        <v>394</v>
      </c>
      <c r="M41" s="250" t="s">
        <v>184</v>
      </c>
      <c r="N41" s="252">
        <v>1</v>
      </c>
      <c r="O41" s="252">
        <f>E40*N41</f>
        <v>5.32</v>
      </c>
      <c r="P41" s="236">
        <v>55</v>
      </c>
      <c r="Q41" s="253">
        <f>N41*P41*$N$11</f>
        <v>63.38767050000002</v>
      </c>
      <c r="R41" s="987">
        <f>SUM(Q41:Q45)</f>
        <v>91.13372163126003</v>
      </c>
      <c r="S41" s="988"/>
      <c r="T41" s="988"/>
      <c r="U41" s="1018"/>
      <c r="V41" s="273">
        <f t="shared" si="0"/>
        <v>0</v>
      </c>
      <c r="W41" s="274">
        <f t="shared" si="1"/>
        <v>0</v>
      </c>
      <c r="X41" s="567"/>
      <c r="Y41" s="405"/>
      <c r="Z41" s="405"/>
      <c r="AA41" s="405"/>
      <c r="AB41" s="405"/>
      <c r="AC41" s="405"/>
      <c r="AD41" s="405"/>
      <c r="AE41" s="405"/>
    </row>
    <row r="42" spans="1:37" s="470" customFormat="1" ht="12.75">
      <c r="A42" s="1006"/>
      <c r="B42" s="1009"/>
      <c r="C42" s="1012"/>
      <c r="D42" s="1015"/>
      <c r="E42" s="988"/>
      <c r="F42" s="1020"/>
      <c r="G42" s="1020"/>
      <c r="H42" s="1020"/>
      <c r="I42" s="1020"/>
      <c r="J42" s="1020"/>
      <c r="K42" s="1020"/>
      <c r="L42" s="450" t="s">
        <v>185</v>
      </c>
      <c r="M42" s="260" t="s">
        <v>186</v>
      </c>
      <c r="N42" s="261">
        <v>2.64</v>
      </c>
      <c r="O42" s="261">
        <f>E40*N42</f>
        <v>14.044800000000002</v>
      </c>
      <c r="P42" s="237">
        <v>3.5</v>
      </c>
      <c r="Q42" s="412">
        <f>N42*P42*$N$11</f>
        <v>10.649128644000003</v>
      </c>
      <c r="R42" s="988"/>
      <c r="S42" s="988"/>
      <c r="T42" s="988"/>
      <c r="U42" s="1018"/>
      <c r="V42" s="273">
        <f t="shared" si="0"/>
        <v>0</v>
      </c>
      <c r="W42" s="274">
        <f t="shared" si="1"/>
        <v>0</v>
      </c>
      <c r="X42" s="567"/>
      <c r="Y42" s="405"/>
      <c r="Z42" s="405"/>
      <c r="AA42" s="405"/>
      <c r="AB42" s="405"/>
      <c r="AC42" s="405"/>
      <c r="AD42" s="405"/>
      <c r="AE42" s="405"/>
    </row>
    <row r="43" spans="1:37" s="470" customFormat="1" ht="13.5" customHeight="1">
      <c r="A43" s="1006"/>
      <c r="B43" s="1009"/>
      <c r="C43" s="1012"/>
      <c r="D43" s="1015"/>
      <c r="E43" s="988"/>
      <c r="F43" s="1020"/>
      <c r="G43" s="1020"/>
      <c r="H43" s="1020"/>
      <c r="I43" s="1020"/>
      <c r="J43" s="1020"/>
      <c r="K43" s="1020"/>
      <c r="L43" s="450" t="s">
        <v>187</v>
      </c>
      <c r="M43" s="260" t="s">
        <v>184</v>
      </c>
      <c r="N43" s="261">
        <v>0.06</v>
      </c>
      <c r="O43" s="261">
        <f>E40*N43</f>
        <v>0.31919999999999998</v>
      </c>
      <c r="P43" s="237">
        <v>116.67</v>
      </c>
      <c r="Q43" s="412">
        <f>N43*P43*$N$11</f>
        <v>8.0677522006200011</v>
      </c>
      <c r="R43" s="988"/>
      <c r="S43" s="988"/>
      <c r="T43" s="988"/>
      <c r="U43" s="1018"/>
      <c r="V43" s="273">
        <f t="shared" si="0"/>
        <v>0</v>
      </c>
      <c r="W43" s="274">
        <f t="shared" si="1"/>
        <v>0</v>
      </c>
      <c r="X43" s="567"/>
      <c r="Y43" s="405"/>
      <c r="Z43" s="405"/>
      <c r="AA43" s="405"/>
      <c r="AB43" s="405"/>
      <c r="AC43" s="405"/>
      <c r="AD43" s="405"/>
      <c r="AE43" s="405"/>
    </row>
    <row r="44" spans="1:37" s="470" customFormat="1" ht="13.5" customHeight="1">
      <c r="A44" s="1006"/>
      <c r="B44" s="1009"/>
      <c r="C44" s="1012"/>
      <c r="D44" s="1015"/>
      <c r="E44" s="988"/>
      <c r="F44" s="1020"/>
      <c r="G44" s="1020"/>
      <c r="H44" s="1020"/>
      <c r="I44" s="1020"/>
      <c r="J44" s="1020"/>
      <c r="K44" s="1020"/>
      <c r="L44" s="263" t="s">
        <v>349</v>
      </c>
      <c r="M44" s="254" t="s">
        <v>124</v>
      </c>
      <c r="N44" s="257">
        <v>3.2</v>
      </c>
      <c r="O44" s="257">
        <f>E40*N44</f>
        <v>17.024000000000001</v>
      </c>
      <c r="P44" s="411">
        <v>1.167</v>
      </c>
      <c r="Q44" s="258">
        <f>N44*P44*$N$11</f>
        <v>4.3039075766400021</v>
      </c>
      <c r="R44" s="988"/>
      <c r="S44" s="988"/>
      <c r="T44" s="988"/>
      <c r="U44" s="1018"/>
      <c r="V44" s="273">
        <f t="shared" si="0"/>
        <v>0</v>
      </c>
      <c r="W44" s="274">
        <f t="shared" si="1"/>
        <v>0</v>
      </c>
      <c r="X44" s="567"/>
      <c r="Y44" s="405"/>
      <c r="Z44" s="405"/>
      <c r="AA44" s="405"/>
      <c r="AB44" s="405"/>
      <c r="AC44" s="405"/>
      <c r="AD44" s="405"/>
      <c r="AE44" s="405"/>
    </row>
    <row r="45" spans="1:37" s="470" customFormat="1" ht="13.5" customHeight="1">
      <c r="A45" s="1007"/>
      <c r="B45" s="1010"/>
      <c r="C45" s="1013"/>
      <c r="D45" s="1016"/>
      <c r="E45" s="989"/>
      <c r="F45" s="1020"/>
      <c r="G45" s="1020"/>
      <c r="H45" s="1020"/>
      <c r="I45" s="1020"/>
      <c r="J45" s="1020"/>
      <c r="K45" s="1020"/>
      <c r="L45" s="866" t="s">
        <v>190</v>
      </c>
      <c r="M45" s="254" t="s">
        <v>124</v>
      </c>
      <c r="N45" s="256">
        <v>4.0999999999999996</v>
      </c>
      <c r="O45" s="256">
        <f>E40*N45</f>
        <v>21.811999999999998</v>
      </c>
      <c r="P45" s="411">
        <v>1</v>
      </c>
      <c r="Q45" s="258">
        <f>N45*P45*$N$11</f>
        <v>4.7252627100000009</v>
      </c>
      <c r="R45" s="989"/>
      <c r="S45" s="989"/>
      <c r="T45" s="989"/>
      <c r="U45" s="1019"/>
      <c r="V45" s="273">
        <f t="shared" si="0"/>
        <v>0</v>
      </c>
      <c r="W45" s="274">
        <f t="shared" si="1"/>
        <v>0</v>
      </c>
      <c r="X45" s="567"/>
      <c r="Y45" s="405"/>
      <c r="Z45" s="405"/>
      <c r="AA45" s="405"/>
      <c r="AB45" s="405"/>
      <c r="AC45" s="405"/>
      <c r="AD45" s="405"/>
      <c r="AE45" s="405"/>
    </row>
    <row r="46" spans="1:37" s="694" customFormat="1" ht="12.75" customHeight="1">
      <c r="A46" s="1000">
        <f>+A40+1</f>
        <v>8</v>
      </c>
      <c r="B46" s="1001" t="s">
        <v>191</v>
      </c>
      <c r="C46" s="965" t="s">
        <v>398</v>
      </c>
      <c r="D46" s="966" t="s">
        <v>326</v>
      </c>
      <c r="E46" s="1003">
        <v>0.39200000000000002</v>
      </c>
      <c r="F46" s="967"/>
      <c r="G46" s="967"/>
      <c r="H46" s="967"/>
      <c r="I46" s="1004"/>
      <c r="J46" s="1004"/>
      <c r="K46" s="1004"/>
      <c r="L46" s="673"/>
      <c r="M46" s="674"/>
      <c r="N46" s="675"/>
      <c r="O46" s="676"/>
      <c r="P46" s="676"/>
      <c r="Q46" s="677"/>
      <c r="R46" s="788">
        <f>F47+I47</f>
        <v>0</v>
      </c>
      <c r="S46" s="999">
        <f>R46+R47</f>
        <v>372.1628435427001</v>
      </c>
      <c r="T46" s="999">
        <f>E46*S46</f>
        <v>145.88783466873844</v>
      </c>
      <c r="U46" s="964">
        <f>R47*E46</f>
        <v>145.88783466873844</v>
      </c>
      <c r="V46" s="273">
        <f t="shared" si="0"/>
        <v>494.20887559089761</v>
      </c>
      <c r="W46" s="274">
        <f t="shared" si="1"/>
        <v>193.72987923163186</v>
      </c>
      <c r="X46" s="567"/>
      <c r="Y46" s="693"/>
      <c r="Z46" s="693"/>
      <c r="AA46" s="693"/>
      <c r="AB46" s="693"/>
      <c r="AC46" s="693"/>
      <c r="AD46" s="693"/>
      <c r="AE46" s="693"/>
      <c r="AF46" s="693"/>
      <c r="AG46" s="693"/>
      <c r="AH46" s="693"/>
      <c r="AI46" s="693"/>
      <c r="AJ46" s="693"/>
      <c r="AK46" s="693"/>
    </row>
    <row r="47" spans="1:37" s="694" customFormat="1" ht="12.75" customHeight="1">
      <c r="A47" s="1000"/>
      <c r="B47" s="1002"/>
      <c r="C47" s="965"/>
      <c r="D47" s="966"/>
      <c r="E47" s="1003"/>
      <c r="F47" s="967"/>
      <c r="G47" s="967"/>
      <c r="H47" s="967"/>
      <c r="I47" s="967"/>
      <c r="J47" s="967"/>
      <c r="K47" s="967"/>
      <c r="L47" s="682" t="s">
        <v>398</v>
      </c>
      <c r="M47" s="683" t="s">
        <v>326</v>
      </c>
      <c r="N47" s="684">
        <v>1</v>
      </c>
      <c r="O47" s="685">
        <f>E46*N47</f>
        <v>0.39200000000000002</v>
      </c>
      <c r="P47" s="686">
        <v>322.91699999999997</v>
      </c>
      <c r="Q47" s="687">
        <f>N47*P47*$N$11</f>
        <v>372.1628435427001</v>
      </c>
      <c r="R47" s="788">
        <f>SUM(Q47:Q47)</f>
        <v>372.1628435427001</v>
      </c>
      <c r="S47" s="999"/>
      <c r="T47" s="999"/>
      <c r="U47" s="964"/>
      <c r="V47" s="273">
        <f t="shared" si="0"/>
        <v>0</v>
      </c>
      <c r="W47" s="274">
        <f t="shared" si="1"/>
        <v>0</v>
      </c>
      <c r="X47" s="567"/>
      <c r="Y47" s="693"/>
      <c r="Z47" s="693"/>
      <c r="AA47" s="693"/>
      <c r="AB47" s="693"/>
      <c r="AC47" s="693"/>
      <c r="AD47" s="693"/>
      <c r="AE47" s="693"/>
      <c r="AF47" s="693"/>
      <c r="AG47" s="693"/>
      <c r="AH47" s="693"/>
      <c r="AI47" s="693"/>
      <c r="AJ47" s="693"/>
      <c r="AK47" s="693"/>
    </row>
    <row r="48" spans="1:37" s="694" customFormat="1" ht="12.75" customHeight="1">
      <c r="A48" s="1000">
        <f>+A46+1</f>
        <v>9</v>
      </c>
      <c r="B48" s="1001" t="s">
        <v>191</v>
      </c>
      <c r="C48" s="965" t="s">
        <v>392</v>
      </c>
      <c r="D48" s="966" t="s">
        <v>326</v>
      </c>
      <c r="E48" s="1003">
        <v>0.18099999999999999</v>
      </c>
      <c r="F48" s="967"/>
      <c r="G48" s="967"/>
      <c r="H48" s="967"/>
      <c r="I48" s="1004"/>
      <c r="J48" s="1004"/>
      <c r="K48" s="1004"/>
      <c r="L48" s="673"/>
      <c r="M48" s="674"/>
      <c r="N48" s="675"/>
      <c r="O48" s="676"/>
      <c r="P48" s="676"/>
      <c r="Q48" s="677"/>
      <c r="R48" s="788">
        <f>F49+I49</f>
        <v>0</v>
      </c>
      <c r="S48" s="999">
        <f>R48+R49</f>
        <v>409.7793922236001</v>
      </c>
      <c r="T48" s="999">
        <f>E48*S48</f>
        <v>74.17006999247161</v>
      </c>
      <c r="U48" s="964">
        <f>R49*E48</f>
        <v>74.17006999247161</v>
      </c>
      <c r="V48" s="273">
        <f t="shared" si="0"/>
        <v>544.16128902968001</v>
      </c>
      <c r="W48" s="274">
        <f t="shared" si="1"/>
        <v>98.493193314372078</v>
      </c>
      <c r="X48" s="567"/>
      <c r="Y48" s="693"/>
      <c r="Z48" s="693"/>
      <c r="AA48" s="693"/>
      <c r="AB48" s="693"/>
      <c r="AC48" s="693"/>
      <c r="AD48" s="693"/>
      <c r="AE48" s="693"/>
      <c r="AF48" s="693"/>
      <c r="AG48" s="693"/>
      <c r="AH48" s="693"/>
      <c r="AI48" s="693"/>
      <c r="AJ48" s="693"/>
      <c r="AK48" s="693"/>
    </row>
    <row r="49" spans="1:39" s="694" customFormat="1" ht="12.75" customHeight="1">
      <c r="A49" s="1000"/>
      <c r="B49" s="1002"/>
      <c r="C49" s="965"/>
      <c r="D49" s="966"/>
      <c r="E49" s="1003"/>
      <c r="F49" s="967"/>
      <c r="G49" s="967"/>
      <c r="H49" s="967"/>
      <c r="I49" s="967"/>
      <c r="J49" s="967"/>
      <c r="K49" s="967"/>
      <c r="L49" s="682" t="s">
        <v>392</v>
      </c>
      <c r="M49" s="683" t="s">
        <v>326</v>
      </c>
      <c r="N49" s="684">
        <v>1</v>
      </c>
      <c r="O49" s="685">
        <f>E48*N49</f>
        <v>0.18099999999999999</v>
      </c>
      <c r="P49" s="686">
        <v>355.55599999999998</v>
      </c>
      <c r="Q49" s="687">
        <f>N49*P49*$N$11</f>
        <v>409.7793922236001</v>
      </c>
      <c r="R49" s="788">
        <f>SUM(Q49:Q49)</f>
        <v>409.7793922236001</v>
      </c>
      <c r="S49" s="999"/>
      <c r="T49" s="999"/>
      <c r="U49" s="964"/>
      <c r="V49" s="273">
        <f t="shared" si="0"/>
        <v>0</v>
      </c>
      <c r="W49" s="274">
        <f t="shared" si="1"/>
        <v>0</v>
      </c>
      <c r="X49" s="567"/>
      <c r="Y49" s="693"/>
      <c r="Z49" s="693"/>
      <c r="AA49" s="693"/>
      <c r="AB49" s="693"/>
      <c r="AC49" s="693"/>
      <c r="AD49" s="693"/>
      <c r="AE49" s="693"/>
      <c r="AF49" s="693"/>
      <c r="AG49" s="693"/>
      <c r="AH49" s="693"/>
      <c r="AI49" s="693"/>
      <c r="AJ49" s="693"/>
      <c r="AK49" s="693"/>
    </row>
    <row r="50" spans="1:39" s="694" customFormat="1" ht="12.75" customHeight="1">
      <c r="A50" s="1000">
        <f>+A48+1</f>
        <v>10</v>
      </c>
      <c r="B50" s="1001" t="s">
        <v>191</v>
      </c>
      <c r="C50" s="965" t="s">
        <v>393</v>
      </c>
      <c r="D50" s="966" t="s">
        <v>326</v>
      </c>
      <c r="E50" s="1003">
        <v>1.4E-2</v>
      </c>
      <c r="F50" s="967"/>
      <c r="G50" s="967"/>
      <c r="H50" s="967"/>
      <c r="I50" s="1004"/>
      <c r="J50" s="1004"/>
      <c r="K50" s="1004"/>
      <c r="L50" s="673"/>
      <c r="M50" s="674"/>
      <c r="N50" s="675"/>
      <c r="O50" s="676"/>
      <c r="P50" s="676"/>
      <c r="Q50" s="677"/>
      <c r="R50" s="788">
        <f>F51+I51</f>
        <v>0</v>
      </c>
      <c r="S50" s="999">
        <f>R50+R51</f>
        <v>352.95407437500012</v>
      </c>
      <c r="T50" s="999">
        <f>E50*S50</f>
        <v>4.9413570412500016</v>
      </c>
      <c r="U50" s="964">
        <f>R51*E50</f>
        <v>4.9413570412500016</v>
      </c>
      <c r="V50" s="273">
        <f t="shared" si="0"/>
        <v>468.70083690147129</v>
      </c>
      <c r="W50" s="274">
        <f t="shared" si="1"/>
        <v>6.561811716620598</v>
      </c>
      <c r="X50" s="567"/>
      <c r="Y50" s="693"/>
      <c r="Z50" s="693"/>
      <c r="AA50" s="693"/>
      <c r="AB50" s="693"/>
      <c r="AC50" s="693"/>
      <c r="AD50" s="693"/>
      <c r="AE50" s="693"/>
      <c r="AF50" s="693"/>
      <c r="AG50" s="693"/>
      <c r="AH50" s="693"/>
      <c r="AI50" s="693"/>
      <c r="AJ50" s="693"/>
      <c r="AK50" s="693"/>
    </row>
    <row r="51" spans="1:39" s="694" customFormat="1" ht="12.75" customHeight="1">
      <c r="A51" s="1000"/>
      <c r="B51" s="1002"/>
      <c r="C51" s="965"/>
      <c r="D51" s="966"/>
      <c r="E51" s="1003"/>
      <c r="F51" s="967"/>
      <c r="G51" s="967"/>
      <c r="H51" s="967"/>
      <c r="I51" s="967"/>
      <c r="J51" s="967"/>
      <c r="K51" s="967"/>
      <c r="L51" s="682" t="s">
        <v>393</v>
      </c>
      <c r="M51" s="683" t="s">
        <v>326</v>
      </c>
      <c r="N51" s="684">
        <v>1</v>
      </c>
      <c r="O51" s="685">
        <f>E50*N51</f>
        <v>1.4E-2</v>
      </c>
      <c r="P51" s="686">
        <v>306.25</v>
      </c>
      <c r="Q51" s="687">
        <f>N51*P51*$N$11</f>
        <v>352.95407437500012</v>
      </c>
      <c r="R51" s="788">
        <f>SUM(Q51:Q51)</f>
        <v>352.95407437500012</v>
      </c>
      <c r="S51" s="999"/>
      <c r="T51" s="999"/>
      <c r="U51" s="964"/>
      <c r="V51" s="273">
        <f t="shared" si="0"/>
        <v>0</v>
      </c>
      <c r="W51" s="274">
        <f t="shared" si="1"/>
        <v>0</v>
      </c>
      <c r="X51" s="567"/>
      <c r="Y51" s="693"/>
      <c r="Z51" s="693"/>
      <c r="AA51" s="693"/>
      <c r="AB51" s="693"/>
      <c r="AC51" s="693"/>
      <c r="AD51" s="693"/>
      <c r="AE51" s="693"/>
      <c r="AF51" s="693"/>
      <c r="AG51" s="693"/>
      <c r="AH51" s="693"/>
      <c r="AI51" s="693"/>
      <c r="AJ51" s="693"/>
      <c r="AK51" s="693"/>
    </row>
    <row r="52" spans="1:39" s="694" customFormat="1" ht="12.75" customHeight="1">
      <c r="A52" s="1021">
        <f>+A50+1</f>
        <v>11</v>
      </c>
      <c r="B52" s="1022" t="s">
        <v>359</v>
      </c>
      <c r="C52" s="983" t="s">
        <v>399</v>
      </c>
      <c r="D52" s="984" t="s">
        <v>180</v>
      </c>
      <c r="E52" s="996">
        <v>1.1499999999999999</v>
      </c>
      <c r="F52" s="997">
        <v>4.6100000000000003</v>
      </c>
      <c r="G52" s="997"/>
      <c r="H52" s="997"/>
      <c r="I52" s="998">
        <v>0.81</v>
      </c>
      <c r="J52" s="998"/>
      <c r="K52" s="998"/>
      <c r="L52" s="660"/>
      <c r="M52" s="898"/>
      <c r="N52" s="797"/>
      <c r="O52" s="797"/>
      <c r="P52" s="797"/>
      <c r="Q52" s="786"/>
      <c r="R52" s="795">
        <f>F53+I53</f>
        <v>13.384046100000003</v>
      </c>
      <c r="S52" s="997">
        <f>R52+R53</f>
        <v>88.807224645579922</v>
      </c>
      <c r="T52" s="997">
        <f>E52*S52</f>
        <v>102.1283083424169</v>
      </c>
      <c r="U52" s="982">
        <f>R53*E52</f>
        <v>86.736655327416898</v>
      </c>
      <c r="V52" s="273">
        <f t="shared" si="0"/>
        <v>117.93041513399943</v>
      </c>
      <c r="W52" s="274">
        <f t="shared" si="1"/>
        <v>135.61997740409933</v>
      </c>
      <c r="X52" s="567"/>
      <c r="Y52" s="693"/>
      <c r="Z52" s="693"/>
      <c r="AA52" s="693"/>
      <c r="AB52" s="693"/>
      <c r="AC52" s="693"/>
      <c r="AD52" s="693"/>
      <c r="AE52" s="693"/>
      <c r="AF52" s="693"/>
      <c r="AG52" s="693"/>
      <c r="AH52" s="693"/>
      <c r="AI52" s="693"/>
      <c r="AJ52" s="693"/>
      <c r="AK52" s="693"/>
    </row>
    <row r="53" spans="1:39" s="694" customFormat="1" ht="12.75" customHeight="1">
      <c r="A53" s="1021"/>
      <c r="B53" s="1022"/>
      <c r="C53" s="983"/>
      <c r="D53" s="985"/>
      <c r="E53" s="996"/>
      <c r="F53" s="997">
        <f>F52*J$13/1000</f>
        <v>10.773570000000001</v>
      </c>
      <c r="G53" s="997"/>
      <c r="H53" s="997"/>
      <c r="I53" s="997">
        <f>I52*$Q$13/1000</f>
        <v>2.6104761000000005</v>
      </c>
      <c r="J53" s="997"/>
      <c r="K53" s="997"/>
      <c r="L53" s="249" t="s">
        <v>394</v>
      </c>
      <c r="M53" s="250" t="s">
        <v>184</v>
      </c>
      <c r="N53" s="252">
        <v>1.02</v>
      </c>
      <c r="O53" s="252">
        <f>E52*N53</f>
        <v>1.1729999999999998</v>
      </c>
      <c r="P53" s="236">
        <v>55</v>
      </c>
      <c r="Q53" s="253">
        <f>N53*P53*$N$11</f>
        <v>64.655423910000025</v>
      </c>
      <c r="R53" s="997">
        <f>SUM(Q53:Q55)</f>
        <v>75.423178545579916</v>
      </c>
      <c r="S53" s="997"/>
      <c r="T53" s="997"/>
      <c r="U53" s="982"/>
      <c r="V53" s="273">
        <f t="shared" si="0"/>
        <v>0</v>
      </c>
      <c r="W53" s="274">
        <f t="shared" si="1"/>
        <v>0</v>
      </c>
      <c r="X53" s="567"/>
      <c r="Y53" s="693"/>
      <c r="Z53" s="693"/>
      <c r="AA53" s="693"/>
      <c r="AB53" s="693"/>
      <c r="AC53" s="693"/>
      <c r="AD53" s="693"/>
      <c r="AE53" s="693"/>
      <c r="AF53" s="693"/>
      <c r="AG53" s="693"/>
      <c r="AH53" s="693"/>
      <c r="AI53" s="693"/>
      <c r="AJ53" s="693"/>
      <c r="AK53" s="693"/>
    </row>
    <row r="54" spans="1:39" s="694" customFormat="1" ht="12.75" customHeight="1">
      <c r="A54" s="1021"/>
      <c r="B54" s="1022"/>
      <c r="C54" s="983"/>
      <c r="D54" s="985"/>
      <c r="E54" s="996"/>
      <c r="F54" s="997"/>
      <c r="G54" s="997"/>
      <c r="H54" s="997"/>
      <c r="I54" s="997"/>
      <c r="J54" s="997"/>
      <c r="K54" s="997"/>
      <c r="L54" s="450" t="s">
        <v>185</v>
      </c>
      <c r="M54" s="260" t="s">
        <v>186</v>
      </c>
      <c r="N54" s="261">
        <v>1.37</v>
      </c>
      <c r="O54" s="261">
        <f>E52*N54</f>
        <v>1.5754999999999999</v>
      </c>
      <c r="P54" s="237">
        <v>3.5</v>
      </c>
      <c r="Q54" s="412">
        <f>N54*P54*$N$11</f>
        <v>5.5262523645000012</v>
      </c>
      <c r="R54" s="997"/>
      <c r="S54" s="997"/>
      <c r="T54" s="997"/>
      <c r="U54" s="982"/>
      <c r="V54" s="273">
        <f t="shared" si="0"/>
        <v>0</v>
      </c>
      <c r="W54" s="274">
        <f t="shared" si="1"/>
        <v>0</v>
      </c>
      <c r="X54" s="567"/>
      <c r="Y54" s="693"/>
      <c r="Z54" s="693"/>
      <c r="AA54" s="693"/>
      <c r="AB54" s="693"/>
      <c r="AC54" s="693"/>
      <c r="AD54" s="693"/>
      <c r="AE54" s="693"/>
      <c r="AF54" s="693"/>
      <c r="AG54" s="693"/>
      <c r="AH54" s="693"/>
      <c r="AI54" s="693"/>
      <c r="AJ54" s="693"/>
      <c r="AK54" s="693"/>
    </row>
    <row r="55" spans="1:39" s="694" customFormat="1" ht="12.75" customHeight="1">
      <c r="A55" s="1021"/>
      <c r="B55" s="1022"/>
      <c r="C55" s="983"/>
      <c r="D55" s="986"/>
      <c r="E55" s="996"/>
      <c r="F55" s="997"/>
      <c r="G55" s="997"/>
      <c r="H55" s="997"/>
      <c r="I55" s="997"/>
      <c r="J55" s="997"/>
      <c r="K55" s="997"/>
      <c r="L55" s="450" t="s">
        <v>187</v>
      </c>
      <c r="M55" s="260" t="s">
        <v>184</v>
      </c>
      <c r="N55" s="261">
        <v>3.6999999999999998E-2</v>
      </c>
      <c r="O55" s="261">
        <f>E52*N55</f>
        <v>4.2549999999999998E-2</v>
      </c>
      <c r="P55" s="237">
        <v>122.917</v>
      </c>
      <c r="Q55" s="412">
        <f>N55*P55*$N$11</f>
        <v>5.2415022710799013</v>
      </c>
      <c r="R55" s="997"/>
      <c r="S55" s="997"/>
      <c r="T55" s="997"/>
      <c r="U55" s="982"/>
      <c r="V55" s="273">
        <f t="shared" si="0"/>
        <v>0</v>
      </c>
      <c r="W55" s="274">
        <f t="shared" si="1"/>
        <v>0</v>
      </c>
      <c r="X55" s="567"/>
      <c r="Y55" s="693"/>
      <c r="Z55" s="693"/>
      <c r="AA55" s="693"/>
      <c r="AB55" s="693"/>
      <c r="AC55" s="693"/>
      <c r="AD55" s="693"/>
      <c r="AE55" s="693"/>
      <c r="AF55" s="693"/>
      <c r="AG55" s="693"/>
      <c r="AH55" s="693"/>
      <c r="AI55" s="693"/>
      <c r="AJ55" s="693"/>
      <c r="AK55" s="693"/>
    </row>
    <row r="56" spans="1:39" s="694" customFormat="1" ht="12.75" customHeight="1">
      <c r="A56" s="1000">
        <f>+A50+1</f>
        <v>11</v>
      </c>
      <c r="B56" s="1001" t="s">
        <v>191</v>
      </c>
      <c r="C56" s="965" t="s">
        <v>398</v>
      </c>
      <c r="D56" s="966" t="s">
        <v>326</v>
      </c>
      <c r="E56" s="1003">
        <v>0.223</v>
      </c>
      <c r="F56" s="967"/>
      <c r="G56" s="967"/>
      <c r="H56" s="967"/>
      <c r="I56" s="1004"/>
      <c r="J56" s="1004"/>
      <c r="K56" s="1004"/>
      <c r="L56" s="673"/>
      <c r="M56" s="674"/>
      <c r="N56" s="675"/>
      <c r="O56" s="676"/>
      <c r="P56" s="676"/>
      <c r="Q56" s="677"/>
      <c r="R56" s="788">
        <f>F57+I57</f>
        <v>0</v>
      </c>
      <c r="S56" s="999">
        <f>R56+R57</f>
        <v>372.1628435427001</v>
      </c>
      <c r="T56" s="999">
        <f>E56*S56</f>
        <v>82.992314110022122</v>
      </c>
      <c r="U56" s="964">
        <f>R57*E56</f>
        <v>82.992314110022122</v>
      </c>
      <c r="V56" s="273">
        <f t="shared" si="0"/>
        <v>494.20887559089761</v>
      </c>
      <c r="W56" s="274">
        <f t="shared" si="1"/>
        <v>110.20857925677016</v>
      </c>
      <c r="X56" s="567"/>
      <c r="Y56" s="693"/>
      <c r="Z56" s="693"/>
      <c r="AA56" s="693"/>
      <c r="AB56" s="693"/>
      <c r="AC56" s="693"/>
      <c r="AD56" s="693"/>
      <c r="AE56" s="693"/>
      <c r="AF56" s="693"/>
      <c r="AG56" s="693"/>
      <c r="AH56" s="693"/>
      <c r="AI56" s="693"/>
      <c r="AJ56" s="693"/>
      <c r="AK56" s="693"/>
    </row>
    <row r="57" spans="1:39" s="694" customFormat="1" ht="12.75" customHeight="1">
      <c r="A57" s="1000"/>
      <c r="B57" s="1002"/>
      <c r="C57" s="965"/>
      <c r="D57" s="966"/>
      <c r="E57" s="1003"/>
      <c r="F57" s="967"/>
      <c r="G57" s="967"/>
      <c r="H57" s="967"/>
      <c r="I57" s="967"/>
      <c r="J57" s="967"/>
      <c r="K57" s="967"/>
      <c r="L57" s="682" t="s">
        <v>398</v>
      </c>
      <c r="M57" s="683" t="s">
        <v>326</v>
      </c>
      <c r="N57" s="684">
        <v>1</v>
      </c>
      <c r="O57" s="685">
        <f>E56*N57</f>
        <v>0.223</v>
      </c>
      <c r="P57" s="686">
        <v>322.91699999999997</v>
      </c>
      <c r="Q57" s="687">
        <f>N57*P57*$N$11</f>
        <v>372.1628435427001</v>
      </c>
      <c r="R57" s="788">
        <f>SUM(Q57:Q57)</f>
        <v>372.1628435427001</v>
      </c>
      <c r="S57" s="999"/>
      <c r="T57" s="999"/>
      <c r="U57" s="964"/>
      <c r="V57" s="273">
        <f t="shared" si="0"/>
        <v>0</v>
      </c>
      <c r="W57" s="274">
        <f t="shared" si="1"/>
        <v>0</v>
      </c>
      <c r="X57" s="567"/>
      <c r="Y57" s="693"/>
      <c r="Z57" s="693"/>
      <c r="AA57" s="693"/>
      <c r="AB57" s="693"/>
      <c r="AC57" s="693"/>
      <c r="AD57" s="693"/>
      <c r="AE57" s="693"/>
      <c r="AF57" s="693"/>
      <c r="AG57" s="693"/>
      <c r="AH57" s="693"/>
      <c r="AI57" s="693"/>
      <c r="AJ57" s="693"/>
      <c r="AK57" s="693"/>
    </row>
    <row r="58" spans="1:39" s="694" customFormat="1" ht="12.75" customHeight="1">
      <c r="A58" s="1000">
        <f>+A56+1</f>
        <v>12</v>
      </c>
      <c r="B58" s="1001" t="s">
        <v>191</v>
      </c>
      <c r="C58" s="965" t="s">
        <v>393</v>
      </c>
      <c r="D58" s="966" t="s">
        <v>326</v>
      </c>
      <c r="E58" s="1003">
        <v>1E-3</v>
      </c>
      <c r="F58" s="967"/>
      <c r="G58" s="967"/>
      <c r="H58" s="967"/>
      <c r="I58" s="1004"/>
      <c r="J58" s="1004"/>
      <c r="K58" s="1004"/>
      <c r="L58" s="673"/>
      <c r="M58" s="674"/>
      <c r="N58" s="675"/>
      <c r="O58" s="676"/>
      <c r="P58" s="676"/>
      <c r="Q58" s="677"/>
      <c r="R58" s="788">
        <f>F59+I59</f>
        <v>0</v>
      </c>
      <c r="S58" s="999">
        <f>R58+R59</f>
        <v>352.95407437500012</v>
      </c>
      <c r="T58" s="999">
        <f>E58*S58</f>
        <v>0.35295407437500015</v>
      </c>
      <c r="U58" s="964">
        <f>R59*E58</f>
        <v>0.35295407437500015</v>
      </c>
      <c r="V58" s="273">
        <f t="shared" si="0"/>
        <v>468.70083690147129</v>
      </c>
      <c r="W58" s="274">
        <f t="shared" si="1"/>
        <v>0.4687008369014713</v>
      </c>
      <c r="X58" s="567"/>
      <c r="Y58" s="693"/>
      <c r="Z58" s="693"/>
      <c r="AA58" s="693"/>
      <c r="AB58" s="693"/>
      <c r="AC58" s="693"/>
      <c r="AD58" s="693"/>
      <c r="AE58" s="693"/>
      <c r="AF58" s="693"/>
      <c r="AG58" s="693"/>
      <c r="AH58" s="693"/>
      <c r="AI58" s="693"/>
      <c r="AJ58" s="693"/>
      <c r="AK58" s="693"/>
    </row>
    <row r="59" spans="1:39" s="694" customFormat="1" ht="12.75" customHeight="1">
      <c r="A59" s="1000"/>
      <c r="B59" s="1002"/>
      <c r="C59" s="965"/>
      <c r="D59" s="966"/>
      <c r="E59" s="1003"/>
      <c r="F59" s="967"/>
      <c r="G59" s="967"/>
      <c r="H59" s="967"/>
      <c r="I59" s="967"/>
      <c r="J59" s="967"/>
      <c r="K59" s="967"/>
      <c r="L59" s="682" t="s">
        <v>393</v>
      </c>
      <c r="M59" s="683" t="s">
        <v>326</v>
      </c>
      <c r="N59" s="684">
        <v>1</v>
      </c>
      <c r="O59" s="685">
        <f>E58*N59</f>
        <v>1E-3</v>
      </c>
      <c r="P59" s="686">
        <v>306.25</v>
      </c>
      <c r="Q59" s="687">
        <f>N59*P59*$N$11</f>
        <v>352.95407437500012</v>
      </c>
      <c r="R59" s="788">
        <f>SUM(Q59:Q59)</f>
        <v>352.95407437500012</v>
      </c>
      <c r="S59" s="999"/>
      <c r="T59" s="999"/>
      <c r="U59" s="964"/>
      <c r="V59" s="273">
        <f t="shared" si="0"/>
        <v>0</v>
      </c>
      <c r="W59" s="274">
        <f t="shared" si="1"/>
        <v>0</v>
      </c>
      <c r="X59" s="567"/>
      <c r="Y59" s="693"/>
      <c r="Z59" s="693"/>
      <c r="AA59" s="693"/>
      <c r="AB59" s="693"/>
      <c r="AC59" s="693"/>
      <c r="AD59" s="693"/>
      <c r="AE59" s="693"/>
      <c r="AF59" s="693"/>
      <c r="AG59" s="693"/>
      <c r="AH59" s="693"/>
      <c r="AI59" s="693"/>
      <c r="AJ59" s="693"/>
      <c r="AK59" s="693"/>
    </row>
    <row r="60" spans="1:39" s="421" customFormat="1" ht="14.25" customHeight="1">
      <c r="A60" s="1005">
        <f>+A58+1</f>
        <v>13</v>
      </c>
      <c r="B60" s="1008" t="s">
        <v>261</v>
      </c>
      <c r="C60" s="1011" t="s">
        <v>367</v>
      </c>
      <c r="D60" s="1014" t="s">
        <v>124</v>
      </c>
      <c r="E60" s="1267">
        <f>0.023*1000</f>
        <v>23</v>
      </c>
      <c r="F60" s="1193">
        <v>0.124</v>
      </c>
      <c r="G60" s="1194"/>
      <c r="H60" s="1195"/>
      <c r="I60" s="1201">
        <f>1.4/1000</f>
        <v>1.4E-3</v>
      </c>
      <c r="J60" s="1202"/>
      <c r="K60" s="1203"/>
      <c r="L60" s="339"/>
      <c r="M60" s="898"/>
      <c r="N60" s="797"/>
      <c r="O60" s="785"/>
      <c r="P60" s="797"/>
      <c r="Q60" s="786"/>
      <c r="R60" s="794">
        <f>F61+I61</f>
        <v>0.29429993399999999</v>
      </c>
      <c r="S60" s="987">
        <f>R60+R61</f>
        <v>0.81292632900000017</v>
      </c>
      <c r="T60" s="987">
        <f>E60*S60</f>
        <v>18.697305567000004</v>
      </c>
      <c r="U60" s="1112">
        <f>R61*E60</f>
        <v>11.928407085000003</v>
      </c>
      <c r="V60" s="273">
        <f t="shared" si="0"/>
        <v>1.0795150939006375</v>
      </c>
      <c r="W60" s="274">
        <f t="shared" si="1"/>
        <v>24.828847159714662</v>
      </c>
      <c r="X60" s="567"/>
      <c r="Y60" s="239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</row>
    <row r="61" spans="1:39" s="421" customFormat="1" ht="13.5" customHeight="1">
      <c r="A61" s="1007"/>
      <c r="B61" s="1010"/>
      <c r="C61" s="1013"/>
      <c r="D61" s="1016"/>
      <c r="E61" s="1269"/>
      <c r="F61" s="993">
        <f>F60*J$13/1000</f>
        <v>0.28978799999999999</v>
      </c>
      <c r="G61" s="994"/>
      <c r="H61" s="995"/>
      <c r="I61" s="993">
        <f>I60*$Q$13/1000</f>
        <v>4.5119340000000004E-3</v>
      </c>
      <c r="J61" s="994"/>
      <c r="K61" s="995"/>
      <c r="L61" s="246" t="s">
        <v>347</v>
      </c>
      <c r="M61" s="243" t="s">
        <v>124</v>
      </c>
      <c r="N61" s="338">
        <v>1</v>
      </c>
      <c r="O61" s="244">
        <f>E60*N61</f>
        <v>23</v>
      </c>
      <c r="P61" s="243">
        <v>0.45</v>
      </c>
      <c r="Q61" s="245">
        <f>N61*P61*$N$11</f>
        <v>0.51862639500000018</v>
      </c>
      <c r="R61" s="784">
        <f>SUM(Q61:Q61)</f>
        <v>0.51862639500000018</v>
      </c>
      <c r="S61" s="989"/>
      <c r="T61" s="989"/>
      <c r="U61" s="1113"/>
      <c r="V61" s="273">
        <f t="shared" si="0"/>
        <v>0</v>
      </c>
      <c r="W61" s="274">
        <f t="shared" si="1"/>
        <v>0</v>
      </c>
      <c r="X61" s="567"/>
      <c r="Y61" s="239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</row>
    <row r="62" spans="1:39" s="335" customFormat="1" ht="21" customHeight="1">
      <c r="A62" s="1005">
        <f>+A60+1</f>
        <v>14</v>
      </c>
      <c r="B62" s="1008" t="s">
        <v>252</v>
      </c>
      <c r="C62" s="1053" t="s">
        <v>401</v>
      </c>
      <c r="D62" s="1014" t="s">
        <v>116</v>
      </c>
      <c r="E62" s="1199">
        <v>0.8</v>
      </c>
      <c r="F62" s="993">
        <v>0.33</v>
      </c>
      <c r="G62" s="994"/>
      <c r="H62" s="995"/>
      <c r="I62" s="993">
        <v>0.31</v>
      </c>
      <c r="J62" s="994"/>
      <c r="K62" s="995"/>
      <c r="L62" s="267"/>
      <c r="M62" s="898"/>
      <c r="N62" s="797"/>
      <c r="O62" s="797"/>
      <c r="P62" s="268"/>
      <c r="Q62" s="801"/>
      <c r="R62" s="794">
        <f>F63+I63</f>
        <v>1.7702811000000001</v>
      </c>
      <c r="S62" s="987">
        <f>R62+R63</f>
        <v>21.84342759270001</v>
      </c>
      <c r="T62" s="987">
        <f>E62*S62</f>
        <v>17.474742074160009</v>
      </c>
      <c r="U62" s="1017">
        <f>E62*R63</f>
        <v>16.058517194160007</v>
      </c>
      <c r="V62" s="273">
        <f t="shared" si="0"/>
        <v>29.00669955892808</v>
      </c>
      <c r="W62" s="274">
        <f t="shared" si="1"/>
        <v>23.205359647142465</v>
      </c>
      <c r="X62" s="567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</row>
    <row r="63" spans="1:39" s="335" customFormat="1" ht="21" customHeight="1">
      <c r="A63" s="1007"/>
      <c r="B63" s="1010"/>
      <c r="C63" s="1054"/>
      <c r="D63" s="1016"/>
      <c r="E63" s="1200"/>
      <c r="F63" s="993">
        <f>F62*$J$13/1000</f>
        <v>0.77121000000000006</v>
      </c>
      <c r="G63" s="994"/>
      <c r="H63" s="995"/>
      <c r="I63" s="993">
        <f>I62*$Q$13/1000</f>
        <v>0.99907109999999999</v>
      </c>
      <c r="J63" s="994"/>
      <c r="K63" s="995"/>
      <c r="L63" s="248" t="s">
        <v>253</v>
      </c>
      <c r="M63" s="243" t="s">
        <v>116</v>
      </c>
      <c r="N63" s="244">
        <v>1</v>
      </c>
      <c r="O63" s="247">
        <f>E62*N63</f>
        <v>0.8</v>
      </c>
      <c r="P63" s="240">
        <v>17.417000000000002</v>
      </c>
      <c r="Q63" s="245">
        <f>N63*P63*$N$11</f>
        <v>20.073146492700008</v>
      </c>
      <c r="R63" s="784">
        <f>SUM(Q63:Q63)</f>
        <v>20.073146492700008</v>
      </c>
      <c r="S63" s="989"/>
      <c r="T63" s="989"/>
      <c r="U63" s="1019"/>
      <c r="V63" s="273">
        <f t="shared" si="0"/>
        <v>0</v>
      </c>
      <c r="W63" s="274">
        <f t="shared" si="1"/>
        <v>0</v>
      </c>
      <c r="X63" s="567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</row>
    <row r="64" spans="1:39" s="421" customFormat="1" ht="14.25" customHeight="1">
      <c r="A64" s="1005">
        <f>+A62+1</f>
        <v>15</v>
      </c>
      <c r="B64" s="1008" t="s">
        <v>261</v>
      </c>
      <c r="C64" s="1011" t="s">
        <v>404</v>
      </c>
      <c r="D64" s="1014" t="s">
        <v>124</v>
      </c>
      <c r="E64" s="1267">
        <f>0.0013*1000</f>
        <v>1.3</v>
      </c>
      <c r="F64" s="1193">
        <v>0.124</v>
      </c>
      <c r="G64" s="1194"/>
      <c r="H64" s="1195"/>
      <c r="I64" s="1201">
        <f>1.4/1000</f>
        <v>1.4E-3</v>
      </c>
      <c r="J64" s="1202"/>
      <c r="K64" s="1203"/>
      <c r="L64" s="779"/>
      <c r="M64" s="898"/>
      <c r="N64" s="797"/>
      <c r="O64" s="797"/>
      <c r="P64" s="797"/>
      <c r="Q64" s="786"/>
      <c r="R64" s="794">
        <f>F65+I65</f>
        <v>0.29429993399999999</v>
      </c>
      <c r="S64" s="987">
        <f>R64+R65</f>
        <v>0.84173890650000016</v>
      </c>
      <c r="T64" s="987">
        <f>E64*S64</f>
        <v>1.0942605784500004</v>
      </c>
      <c r="U64" s="1112">
        <f>E64*Q65</f>
        <v>0.71167066425000025</v>
      </c>
      <c r="V64" s="273">
        <f t="shared" si="0"/>
        <v>1.1177763867089208</v>
      </c>
      <c r="W64" s="274">
        <f t="shared" si="1"/>
        <v>1.4531093027215971</v>
      </c>
      <c r="X64" s="567"/>
      <c r="Y64" s="239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</row>
    <row r="65" spans="1:37" s="421" customFormat="1" ht="13.5" customHeight="1">
      <c r="A65" s="1007"/>
      <c r="B65" s="1010"/>
      <c r="C65" s="1013"/>
      <c r="D65" s="1016"/>
      <c r="E65" s="1269"/>
      <c r="F65" s="993">
        <f>F64*J$13/1000</f>
        <v>0.28978799999999999</v>
      </c>
      <c r="G65" s="994"/>
      <c r="H65" s="995"/>
      <c r="I65" s="993">
        <f>I64*$Q$13/1000</f>
        <v>4.5119340000000004E-3</v>
      </c>
      <c r="J65" s="994"/>
      <c r="K65" s="995"/>
      <c r="L65" s="246" t="s">
        <v>403</v>
      </c>
      <c r="M65" s="250" t="s">
        <v>124</v>
      </c>
      <c r="N65" s="264">
        <v>1</v>
      </c>
      <c r="O65" s="265">
        <f>E64*N65</f>
        <v>1.3</v>
      </c>
      <c r="P65" s="341">
        <v>0.47499999999999998</v>
      </c>
      <c r="Q65" s="233">
        <f>N65*P65*$N$11</f>
        <v>0.54743897250000018</v>
      </c>
      <c r="R65" s="794">
        <f>SUM(Q65:Q65)</f>
        <v>0.54743897250000018</v>
      </c>
      <c r="S65" s="989"/>
      <c r="T65" s="989"/>
      <c r="U65" s="1113"/>
      <c r="V65" s="273">
        <f t="shared" si="0"/>
        <v>0</v>
      </c>
      <c r="W65" s="274">
        <f t="shared" si="1"/>
        <v>0</v>
      </c>
      <c r="X65" s="567"/>
      <c r="Y65" s="239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</row>
    <row r="66" spans="1:37" s="241" customFormat="1" ht="12.75" customHeight="1">
      <c r="A66" s="1434">
        <f>+A64+1</f>
        <v>16</v>
      </c>
      <c r="B66" s="1437" t="s">
        <v>405</v>
      </c>
      <c r="C66" s="1438" t="s">
        <v>406</v>
      </c>
      <c r="D66" s="1439" t="s">
        <v>164</v>
      </c>
      <c r="E66" s="1442">
        <v>4</v>
      </c>
      <c r="F66" s="1443">
        <f>4.72*0.25</f>
        <v>1.18</v>
      </c>
      <c r="G66" s="1443"/>
      <c r="H66" s="1443"/>
      <c r="I66" s="1443">
        <f>2.07*0.25</f>
        <v>0.51749999999999996</v>
      </c>
      <c r="J66" s="1443"/>
      <c r="K66" s="1444"/>
      <c r="L66" s="339"/>
      <c r="M66" s="898"/>
      <c r="N66" s="797"/>
      <c r="O66" s="797"/>
      <c r="P66" s="797"/>
      <c r="Q66" s="253"/>
      <c r="R66" s="517">
        <f>F67+I67</f>
        <v>4.4254641750000001</v>
      </c>
      <c r="S66" s="1443">
        <f>R66+R67</f>
        <v>8.4505715396452246</v>
      </c>
      <c r="T66" s="1443">
        <f>E66*S66</f>
        <v>33.802286158580898</v>
      </c>
      <c r="U66" s="1445">
        <f>R67*E66</f>
        <v>16.100429458580901</v>
      </c>
      <c r="V66" s="273">
        <f t="shared" si="0"/>
        <v>11.221828108773394</v>
      </c>
      <c r="W66" s="274">
        <f t="shared" si="1"/>
        <v>44.887312435093577</v>
      </c>
      <c r="X66" s="567"/>
    </row>
    <row r="67" spans="1:37" s="241" customFormat="1">
      <c r="A67" s="1435"/>
      <c r="B67" s="1437"/>
      <c r="C67" s="1438"/>
      <c r="D67" s="1440"/>
      <c r="E67" s="1442"/>
      <c r="F67" s="1449">
        <f>F66*$J$13/1000</f>
        <v>2.75766</v>
      </c>
      <c r="G67" s="1450"/>
      <c r="H67" s="1451"/>
      <c r="I67" s="1458">
        <f>I66*$Q$13/1000</f>
        <v>1.6678041749999997</v>
      </c>
      <c r="J67" s="1459"/>
      <c r="K67" s="1460"/>
      <c r="L67" s="249" t="s">
        <v>255</v>
      </c>
      <c r="M67" s="250" t="s">
        <v>124</v>
      </c>
      <c r="N67" s="406">
        <v>2.5</v>
      </c>
      <c r="O67" s="252">
        <f>E66*N67</f>
        <v>10</v>
      </c>
      <c r="P67" s="236">
        <v>0.16550000000000001</v>
      </c>
      <c r="Q67" s="253">
        <f>N67*P67*$N$11</f>
        <v>0.47684815762500016</v>
      </c>
      <c r="R67" s="1443">
        <f>SUM(Q67:Q69)</f>
        <v>4.0251073646452253</v>
      </c>
      <c r="S67" s="1443"/>
      <c r="T67" s="1443"/>
      <c r="U67" s="1445"/>
      <c r="V67" s="273">
        <f t="shared" si="0"/>
        <v>0</v>
      </c>
      <c r="W67" s="274">
        <f t="shared" si="1"/>
        <v>0</v>
      </c>
      <c r="X67" s="567"/>
    </row>
    <row r="68" spans="1:37" s="241" customFormat="1">
      <c r="A68" s="1435"/>
      <c r="B68" s="1437"/>
      <c r="C68" s="1438"/>
      <c r="D68" s="1440"/>
      <c r="E68" s="1442"/>
      <c r="F68" s="1452"/>
      <c r="G68" s="1453"/>
      <c r="H68" s="1454"/>
      <c r="I68" s="1461"/>
      <c r="J68" s="1462"/>
      <c r="K68" s="1463"/>
      <c r="L68" s="249" t="s">
        <v>361</v>
      </c>
      <c r="M68" s="250" t="s">
        <v>389</v>
      </c>
      <c r="N68" s="406">
        <v>0.03</v>
      </c>
      <c r="O68" s="252">
        <f>E66*N68</f>
        <v>0.12</v>
      </c>
      <c r="P68" s="236">
        <v>32.4</v>
      </c>
      <c r="Q68" s="253">
        <f>N68*P68*$N$11</f>
        <v>1.1202330132000002</v>
      </c>
      <c r="R68" s="1443"/>
      <c r="S68" s="1443"/>
      <c r="T68" s="1443"/>
      <c r="U68" s="1445"/>
      <c r="V68" s="273">
        <f t="shared" si="0"/>
        <v>0</v>
      </c>
      <c r="W68" s="274">
        <f t="shared" si="1"/>
        <v>0</v>
      </c>
      <c r="X68" s="567"/>
    </row>
    <row r="69" spans="1:37" s="241" customFormat="1">
      <c r="A69" s="1436"/>
      <c r="B69" s="1437"/>
      <c r="C69" s="1438"/>
      <c r="D69" s="1441"/>
      <c r="E69" s="1442"/>
      <c r="F69" s="1455"/>
      <c r="G69" s="1456"/>
      <c r="H69" s="1457"/>
      <c r="I69" s="1464"/>
      <c r="J69" s="1465"/>
      <c r="K69" s="1466"/>
      <c r="L69" s="780" t="s">
        <v>256</v>
      </c>
      <c r="M69" s="254" t="s">
        <v>124</v>
      </c>
      <c r="N69" s="408">
        <v>1.5</v>
      </c>
      <c r="O69" s="256">
        <f>E66*N69</f>
        <v>6</v>
      </c>
      <c r="P69" s="257">
        <f>1.25/0.89</f>
        <v>1.4044943820224718</v>
      </c>
      <c r="Q69" s="258">
        <f>N69*P69*$N$11</f>
        <v>2.4280261938202252</v>
      </c>
      <c r="R69" s="1443"/>
      <c r="S69" s="1443"/>
      <c r="T69" s="1443"/>
      <c r="U69" s="1445"/>
      <c r="V69" s="273">
        <f t="shared" si="0"/>
        <v>0</v>
      </c>
      <c r="W69" s="274">
        <f t="shared" si="1"/>
        <v>0</v>
      </c>
      <c r="X69" s="567"/>
    </row>
    <row r="70" spans="1:37" s="681" customFormat="1" ht="18" customHeight="1">
      <c r="A70" s="1350">
        <f>+A66+1</f>
        <v>17</v>
      </c>
      <c r="B70" s="1352" t="s">
        <v>357</v>
      </c>
      <c r="C70" s="1354" t="s">
        <v>407</v>
      </c>
      <c r="D70" s="1356" t="s">
        <v>122</v>
      </c>
      <c r="E70" s="1358">
        <v>6</v>
      </c>
      <c r="F70" s="1360">
        <v>0.27400000000000002</v>
      </c>
      <c r="G70" s="1360"/>
      <c r="H70" s="1360"/>
      <c r="I70" s="1361">
        <v>2.0799999999999999E-2</v>
      </c>
      <c r="J70" s="1361"/>
      <c r="K70" s="1361"/>
      <c r="L70" s="673"/>
      <c r="M70" s="674"/>
      <c r="N70" s="675"/>
      <c r="O70" s="676"/>
      <c r="P70" s="676"/>
      <c r="Q70" s="677"/>
      <c r="R70" s="781">
        <f>F71+I71</f>
        <v>0.7073724480000001</v>
      </c>
      <c r="S70" s="1362">
        <f>R70+R71</f>
        <v>1.5300291607800003</v>
      </c>
      <c r="T70" s="1362">
        <f>E70*S70</f>
        <v>9.1801749646800026</v>
      </c>
      <c r="U70" s="1363">
        <f>E70*Q71</f>
        <v>4.9359402766800011</v>
      </c>
      <c r="V70" s="273">
        <f t="shared" si="0"/>
        <v>2.0317826034764033</v>
      </c>
      <c r="W70" s="274">
        <f t="shared" si="1"/>
        <v>12.190695620858421</v>
      </c>
      <c r="X70" s="567"/>
      <c r="Y70" s="679"/>
      <c r="Z70" s="680"/>
      <c r="AA70" s="680"/>
      <c r="AB70" s="680"/>
      <c r="AC70" s="680"/>
      <c r="AD70" s="680"/>
      <c r="AE70" s="680"/>
      <c r="AF70" s="680"/>
      <c r="AG70" s="680"/>
      <c r="AH70" s="680"/>
      <c r="AI70" s="680"/>
      <c r="AJ70" s="680"/>
      <c r="AK70" s="680"/>
    </row>
    <row r="71" spans="1:37" s="681" customFormat="1" ht="20.25" customHeight="1">
      <c r="A71" s="1351"/>
      <c r="B71" s="1353"/>
      <c r="C71" s="1355"/>
      <c r="D71" s="1357"/>
      <c r="E71" s="1359"/>
      <c r="F71" s="1362">
        <f>F70*$J$13/1000</f>
        <v>0.64033800000000007</v>
      </c>
      <c r="G71" s="1362"/>
      <c r="H71" s="1362"/>
      <c r="I71" s="1362">
        <f>I70*$Q$13/1000</f>
        <v>6.7034447999999996E-2</v>
      </c>
      <c r="J71" s="1362"/>
      <c r="K71" s="1362"/>
      <c r="L71" s="682" t="s">
        <v>358</v>
      </c>
      <c r="M71" s="683" t="s">
        <v>124</v>
      </c>
      <c r="N71" s="684">
        <f>0.0043*1000</f>
        <v>4.3</v>
      </c>
      <c r="O71" s="685">
        <f>E70*N71</f>
        <v>25.799999999999997</v>
      </c>
      <c r="P71" s="686">
        <v>0.16600000000000001</v>
      </c>
      <c r="Q71" s="687">
        <f>N71*P71*$N$11</f>
        <v>0.82265671278000019</v>
      </c>
      <c r="R71" s="781">
        <f>SUM(Q71:Q71)</f>
        <v>0.82265671278000019</v>
      </c>
      <c r="S71" s="1362"/>
      <c r="T71" s="1362"/>
      <c r="U71" s="1363"/>
      <c r="V71" s="273">
        <f t="shared" si="0"/>
        <v>0</v>
      </c>
      <c r="W71" s="274">
        <f t="shared" si="1"/>
        <v>0</v>
      </c>
      <c r="X71" s="567"/>
      <c r="Y71" s="679"/>
      <c r="Z71" s="680"/>
      <c r="AA71" s="680"/>
      <c r="AB71" s="680"/>
      <c r="AC71" s="680"/>
      <c r="AD71" s="680"/>
      <c r="AE71" s="680"/>
      <c r="AF71" s="680"/>
      <c r="AG71" s="680"/>
      <c r="AH71" s="680"/>
      <c r="AI71" s="680"/>
      <c r="AJ71" s="680"/>
      <c r="AK71" s="680"/>
    </row>
    <row r="72" spans="1:37" s="735" customFormat="1" ht="12.75" customHeight="1">
      <c r="A72" s="1471">
        <f>+A70+1</f>
        <v>18</v>
      </c>
      <c r="B72" s="1473" t="s">
        <v>372</v>
      </c>
      <c r="C72" s="1467" t="s">
        <v>408</v>
      </c>
      <c r="D72" s="1469" t="s">
        <v>122</v>
      </c>
      <c r="E72" s="1475">
        <v>6</v>
      </c>
      <c r="F72" s="1477">
        <f>9.88/100</f>
        <v>9.8800000000000013E-2</v>
      </c>
      <c r="G72" s="1477"/>
      <c r="H72" s="1477"/>
      <c r="I72" s="1477">
        <f>0.95/100</f>
        <v>9.4999999999999998E-3</v>
      </c>
      <c r="J72" s="1477"/>
      <c r="K72" s="1477"/>
      <c r="L72" s="731"/>
      <c r="M72" s="648"/>
      <c r="N72" s="649"/>
      <c r="O72" s="732"/>
      <c r="P72" s="649"/>
      <c r="Q72" s="783"/>
      <c r="R72" s="782">
        <f>F73+I73</f>
        <v>0.26151229500000006</v>
      </c>
      <c r="S72" s="1478">
        <f>R72+R73</f>
        <v>1.0232707439760003</v>
      </c>
      <c r="T72" s="1478">
        <f>E72*S72</f>
        <v>6.139624463856002</v>
      </c>
      <c r="U72" s="1480">
        <f>E72*R73</f>
        <v>4.570550693856001</v>
      </c>
      <c r="V72" s="273">
        <f t="shared" si="0"/>
        <v>1.3588392623817045</v>
      </c>
      <c r="W72" s="274">
        <f t="shared" si="1"/>
        <v>8.153035574290227</v>
      </c>
      <c r="X72" s="567"/>
      <c r="Y72" s="734"/>
    </row>
    <row r="73" spans="1:37" s="735" customFormat="1" ht="19.5" customHeight="1">
      <c r="A73" s="1472"/>
      <c r="B73" s="1474"/>
      <c r="C73" s="1468"/>
      <c r="D73" s="1470"/>
      <c r="E73" s="1476"/>
      <c r="F73" s="1482">
        <f>F72*$J$13/1000</f>
        <v>0.23089560000000003</v>
      </c>
      <c r="G73" s="1482"/>
      <c r="H73" s="1482"/>
      <c r="I73" s="1483">
        <f>I72*$Q$13/1000</f>
        <v>3.0616694999999999E-2</v>
      </c>
      <c r="J73" s="1484"/>
      <c r="K73" s="1485"/>
      <c r="L73" s="736" t="s">
        <v>373</v>
      </c>
      <c r="M73" s="737" t="s">
        <v>180</v>
      </c>
      <c r="N73" s="738">
        <f>2.04/100</f>
        <v>2.0400000000000001E-2</v>
      </c>
      <c r="O73" s="739">
        <f>E72*N73</f>
        <v>0.12240000000000001</v>
      </c>
      <c r="P73" s="740">
        <v>32.4</v>
      </c>
      <c r="Q73" s="741">
        <f>N73*P73*$N$11</f>
        <v>0.7617584489760002</v>
      </c>
      <c r="R73" s="782">
        <f>SUM(Q73:Q73)</f>
        <v>0.7617584489760002</v>
      </c>
      <c r="S73" s="1479"/>
      <c r="T73" s="1479"/>
      <c r="U73" s="1481"/>
      <c r="V73" s="273">
        <f t="shared" si="0"/>
        <v>0</v>
      </c>
      <c r="W73" s="274">
        <f t="shared" si="1"/>
        <v>0</v>
      </c>
      <c r="X73" s="567"/>
      <c r="Y73" s="734"/>
    </row>
    <row r="74" spans="1:37" s="569" customFormat="1" ht="18.75" customHeight="1">
      <c r="A74" s="1240">
        <f>+A72+1</f>
        <v>19</v>
      </c>
      <c r="B74" s="1135" t="s">
        <v>345</v>
      </c>
      <c r="C74" s="1137" t="s">
        <v>346</v>
      </c>
      <c r="D74" s="984" t="s">
        <v>326</v>
      </c>
      <c r="E74" s="1243">
        <v>3.4000000000000002E-2</v>
      </c>
      <c r="F74" s="1246">
        <v>13.8</v>
      </c>
      <c r="G74" s="1247"/>
      <c r="H74" s="1248"/>
      <c r="I74" s="1249">
        <v>32.1</v>
      </c>
      <c r="J74" s="1250"/>
      <c r="K74" s="1251"/>
      <c r="L74" s="339"/>
      <c r="M74" s="898"/>
      <c r="N74" s="466"/>
      <c r="O74" s="797"/>
      <c r="P74" s="797"/>
      <c r="Q74" s="786"/>
      <c r="R74" s="650">
        <f>F75+I75</f>
        <v>135.70280100000002</v>
      </c>
      <c r="S74" s="1252">
        <f>R74+R75</f>
        <v>675.63644281218001</v>
      </c>
      <c r="T74" s="1252">
        <f>E74*S74</f>
        <v>22.971639055614123</v>
      </c>
      <c r="U74" s="1255">
        <f>R75*E74</f>
        <v>18.357743821614122</v>
      </c>
      <c r="V74" s="273">
        <f t="shared" si="0"/>
        <v>897.20275009703005</v>
      </c>
      <c r="W74" s="274">
        <f t="shared" si="1"/>
        <v>30.504893503299023</v>
      </c>
      <c r="X74" s="567"/>
      <c r="Y74" s="637"/>
      <c r="Z74" s="637"/>
      <c r="AA74" s="637"/>
      <c r="AB74" s="637"/>
      <c r="AC74" s="637"/>
      <c r="AD74" s="637"/>
      <c r="AE74" s="637"/>
      <c r="AF74" s="637"/>
      <c r="AG74" s="637"/>
      <c r="AH74" s="637"/>
      <c r="AI74" s="637"/>
      <c r="AJ74" s="637"/>
      <c r="AK74" s="637"/>
    </row>
    <row r="75" spans="1:37" s="569" customFormat="1" ht="22.5">
      <c r="A75" s="1241"/>
      <c r="B75" s="1136"/>
      <c r="C75" s="1138"/>
      <c r="D75" s="985"/>
      <c r="E75" s="1244"/>
      <c r="F75" s="1258">
        <f>F74*J$13/1000</f>
        <v>32.250600000000006</v>
      </c>
      <c r="G75" s="1259"/>
      <c r="H75" s="1260"/>
      <c r="I75" s="1258">
        <f>I74*$Q$13/1000</f>
        <v>103.452201</v>
      </c>
      <c r="J75" s="1259"/>
      <c r="K75" s="1260"/>
      <c r="L75" s="342" t="s">
        <v>347</v>
      </c>
      <c r="M75" s="250" t="s">
        <v>326</v>
      </c>
      <c r="N75" s="265">
        <v>1</v>
      </c>
      <c r="O75" s="340">
        <f>E74*N75</f>
        <v>3.4000000000000002E-2</v>
      </c>
      <c r="P75" s="341">
        <v>450</v>
      </c>
      <c r="Q75" s="233">
        <f>N75*P75*$N$11</f>
        <v>518.62639500000012</v>
      </c>
      <c r="R75" s="1252">
        <f>SUM(Q75:Q78)</f>
        <v>539.93364181217999</v>
      </c>
      <c r="S75" s="1253"/>
      <c r="T75" s="1253"/>
      <c r="U75" s="1256"/>
      <c r="V75" s="273">
        <f t="shared" si="0"/>
        <v>0</v>
      </c>
      <c r="W75" s="274">
        <f t="shared" si="1"/>
        <v>0</v>
      </c>
      <c r="X75" s="567"/>
      <c r="Y75" s="637"/>
      <c r="Z75" s="637"/>
      <c r="AA75" s="637"/>
      <c r="AB75" s="637"/>
      <c r="AC75" s="637"/>
      <c r="AD75" s="637"/>
      <c r="AE75" s="637"/>
      <c r="AF75" s="637"/>
      <c r="AG75" s="637"/>
      <c r="AH75" s="637"/>
      <c r="AI75" s="637"/>
      <c r="AJ75" s="637"/>
      <c r="AK75" s="637"/>
    </row>
    <row r="76" spans="1:37" s="569" customFormat="1" ht="12.75" customHeight="1">
      <c r="A76" s="1241"/>
      <c r="B76" s="1136"/>
      <c r="C76" s="1138"/>
      <c r="D76" s="985"/>
      <c r="E76" s="1244"/>
      <c r="F76" s="1261"/>
      <c r="G76" s="1262"/>
      <c r="H76" s="1263"/>
      <c r="I76" s="1261"/>
      <c r="J76" s="1262"/>
      <c r="K76" s="1263"/>
      <c r="L76" s="651" t="s">
        <v>348</v>
      </c>
      <c r="M76" s="260" t="s">
        <v>124</v>
      </c>
      <c r="N76" s="407">
        <v>1</v>
      </c>
      <c r="O76" s="261">
        <f>E74*N76</f>
        <v>3.4000000000000002E-2</v>
      </c>
      <c r="P76" s="237">
        <v>0.45</v>
      </c>
      <c r="Q76" s="262">
        <f>N76*P76*$N$11</f>
        <v>0.51862639500000018</v>
      </c>
      <c r="R76" s="1253"/>
      <c r="S76" s="1253"/>
      <c r="T76" s="1253"/>
      <c r="U76" s="1256"/>
      <c r="V76" s="273">
        <f t="shared" si="0"/>
        <v>0</v>
      </c>
      <c r="W76" s="274">
        <f t="shared" si="1"/>
        <v>0</v>
      </c>
      <c r="X76" s="567"/>
      <c r="Y76" s="637"/>
      <c r="Z76" s="637"/>
      <c r="AA76" s="637"/>
      <c r="AB76" s="637"/>
      <c r="AC76" s="637"/>
      <c r="AD76" s="637"/>
      <c r="AE76" s="637"/>
      <c r="AF76" s="637"/>
      <c r="AG76" s="637"/>
      <c r="AH76" s="637"/>
      <c r="AI76" s="637"/>
      <c r="AJ76" s="637"/>
      <c r="AK76" s="637"/>
    </row>
    <row r="77" spans="1:37" s="569" customFormat="1" ht="12.75" customHeight="1">
      <c r="A77" s="1241"/>
      <c r="B77" s="1136"/>
      <c r="C77" s="1138"/>
      <c r="D77" s="985"/>
      <c r="E77" s="1244"/>
      <c r="F77" s="1261"/>
      <c r="G77" s="1262"/>
      <c r="H77" s="1263"/>
      <c r="I77" s="1261"/>
      <c r="J77" s="1262"/>
      <c r="K77" s="1263"/>
      <c r="L77" s="652" t="s">
        <v>349</v>
      </c>
      <c r="M77" s="653" t="s">
        <v>124</v>
      </c>
      <c r="N77" s="654">
        <v>13.4</v>
      </c>
      <c r="O77" s="655">
        <f>E74*N77</f>
        <v>0.45560000000000006</v>
      </c>
      <c r="P77" s="656">
        <v>1.167</v>
      </c>
      <c r="Q77" s="657">
        <f>N77*P77*$N$11</f>
        <v>18.022612977180007</v>
      </c>
      <c r="R77" s="1253"/>
      <c r="S77" s="1253"/>
      <c r="T77" s="1253"/>
      <c r="U77" s="1256"/>
      <c r="V77" s="273">
        <f t="shared" si="0"/>
        <v>0</v>
      </c>
      <c r="W77" s="274">
        <f t="shared" si="1"/>
        <v>0</v>
      </c>
      <c r="X77" s="567"/>
      <c r="Y77" s="637"/>
      <c r="Z77" s="637"/>
      <c r="AA77" s="637"/>
      <c r="AB77" s="637"/>
      <c r="AC77" s="637"/>
      <c r="AD77" s="637"/>
      <c r="AE77" s="637"/>
      <c r="AF77" s="637"/>
      <c r="AG77" s="637"/>
      <c r="AH77" s="637"/>
      <c r="AI77" s="637"/>
      <c r="AJ77" s="637"/>
      <c r="AK77" s="637"/>
    </row>
    <row r="78" spans="1:37" s="569" customFormat="1" ht="12.75" customHeight="1">
      <c r="A78" s="1242"/>
      <c r="B78" s="1211"/>
      <c r="C78" s="1139"/>
      <c r="D78" s="986"/>
      <c r="E78" s="1245"/>
      <c r="F78" s="1264"/>
      <c r="G78" s="1265"/>
      <c r="H78" s="1266"/>
      <c r="I78" s="1264"/>
      <c r="J78" s="1265"/>
      <c r="K78" s="1266"/>
      <c r="L78" s="343" t="s">
        <v>190</v>
      </c>
      <c r="M78" s="457" t="s">
        <v>124</v>
      </c>
      <c r="N78" s="467">
        <v>2.4</v>
      </c>
      <c r="O78" s="256">
        <f>E74*N78</f>
        <v>8.1600000000000006E-2</v>
      </c>
      <c r="P78" s="467">
        <v>1</v>
      </c>
      <c r="Q78" s="258">
        <f>N78*P78*$N$11</f>
        <v>2.7660074400000005</v>
      </c>
      <c r="R78" s="1254"/>
      <c r="S78" s="1254"/>
      <c r="T78" s="1254"/>
      <c r="U78" s="1257"/>
      <c r="V78" s="273">
        <f t="shared" si="0"/>
        <v>0</v>
      </c>
      <c r="W78" s="274">
        <f t="shared" si="1"/>
        <v>0</v>
      </c>
      <c r="X78" s="567"/>
      <c r="Y78" s="637"/>
      <c r="Z78" s="637"/>
      <c r="AA78" s="637"/>
      <c r="AB78" s="637"/>
      <c r="AC78" s="637"/>
      <c r="AD78" s="637"/>
      <c r="AE78" s="637"/>
      <c r="AF78" s="637"/>
      <c r="AG78" s="637"/>
      <c r="AH78" s="637"/>
      <c r="AI78" s="637"/>
      <c r="AJ78" s="637"/>
      <c r="AK78" s="637"/>
    </row>
    <row r="79" spans="1:37" s="721" customFormat="1" ht="12.75" customHeight="1">
      <c r="A79" s="1133">
        <f>+A74+1</f>
        <v>20</v>
      </c>
      <c r="B79" s="1135" t="s">
        <v>362</v>
      </c>
      <c r="C79" s="1137" t="s">
        <v>363</v>
      </c>
      <c r="D79" s="1140" t="s">
        <v>122</v>
      </c>
      <c r="E79" s="1142">
        <v>2.2000000000000002</v>
      </c>
      <c r="F79" s="1148">
        <v>0.38400000000000001</v>
      </c>
      <c r="G79" s="1148"/>
      <c r="H79" s="1148"/>
      <c r="I79" s="1214">
        <f>0.03/100</f>
        <v>2.9999999999999997E-4</v>
      </c>
      <c r="J79" s="1215"/>
      <c r="K79" s="1216"/>
      <c r="L79" s="417"/>
      <c r="M79" s="898"/>
      <c r="N79" s="705"/>
      <c r="O79" s="705"/>
      <c r="P79" s="797"/>
      <c r="Q79" s="706"/>
      <c r="R79" s="790">
        <f>F80+I80</f>
        <v>0.89837484300000003</v>
      </c>
      <c r="S79" s="1020">
        <f>R79+R80</f>
        <v>1.2786904934721002</v>
      </c>
      <c r="T79" s="1020">
        <f>E79*S79</f>
        <v>2.8131190856386206</v>
      </c>
      <c r="U79" s="1144">
        <f>R80*E79</f>
        <v>0.8366944310386204</v>
      </c>
      <c r="V79" s="273">
        <f t="shared" si="0"/>
        <v>1.6980206433077485</v>
      </c>
      <c r="W79" s="274">
        <f t="shared" si="1"/>
        <v>3.7356454152770469</v>
      </c>
      <c r="X79" s="567"/>
      <c r="Y79" s="805"/>
      <c r="Z79" s="209"/>
      <c r="AA79" s="805"/>
      <c r="AB79" s="209"/>
      <c r="AC79" s="209"/>
      <c r="AD79" s="209"/>
      <c r="AE79" s="667"/>
      <c r="AF79" s="667"/>
      <c r="AG79" s="667"/>
      <c r="AH79" s="667"/>
      <c r="AI79" s="667"/>
      <c r="AJ79" s="667"/>
      <c r="AK79" s="667"/>
    </row>
    <row r="80" spans="1:37" s="721" customFormat="1" ht="12.75" customHeight="1">
      <c r="A80" s="1134"/>
      <c r="B80" s="1136"/>
      <c r="C80" s="1138"/>
      <c r="D80" s="1141"/>
      <c r="E80" s="1143"/>
      <c r="F80" s="1148">
        <f>F79*J$13/1000</f>
        <v>0.89740799999999998</v>
      </c>
      <c r="G80" s="1148"/>
      <c r="H80" s="1148"/>
      <c r="I80" s="1148">
        <f>I79*$Q$13/1000</f>
        <v>9.6684299999999989E-4</v>
      </c>
      <c r="J80" s="1148"/>
      <c r="K80" s="1148"/>
      <c r="L80" s="806" t="s">
        <v>130</v>
      </c>
      <c r="M80" s="250" t="s">
        <v>124</v>
      </c>
      <c r="N80" s="712">
        <v>0.246</v>
      </c>
      <c r="O80" s="713">
        <f>E79*N80</f>
        <v>0.54120000000000001</v>
      </c>
      <c r="P80" s="341">
        <v>1.25</v>
      </c>
      <c r="Q80" s="714">
        <f>N80*P80*$N$11</f>
        <v>0.35439470325000011</v>
      </c>
      <c r="R80" s="1020">
        <f>SUM(Q80:Q81)</f>
        <v>0.38031565047210014</v>
      </c>
      <c r="S80" s="1020"/>
      <c r="T80" s="1020"/>
      <c r="U80" s="1144"/>
      <c r="V80" s="273">
        <f t="shared" si="0"/>
        <v>0</v>
      </c>
      <c r="W80" s="274">
        <f t="shared" si="1"/>
        <v>0</v>
      </c>
      <c r="X80" s="567"/>
      <c r="Y80" s="805"/>
      <c r="Z80" s="209"/>
      <c r="AA80" s="568" t="s">
        <v>364</v>
      </c>
      <c r="AB80" s="209"/>
      <c r="AC80" s="209"/>
      <c r="AD80" s="209"/>
      <c r="AE80" s="667"/>
      <c r="AF80" s="667"/>
      <c r="AG80" s="667"/>
      <c r="AH80" s="667"/>
      <c r="AI80" s="667"/>
      <c r="AJ80" s="667"/>
      <c r="AK80" s="667"/>
    </row>
    <row r="81" spans="1:37" s="721" customFormat="1" ht="12.75" customHeight="1">
      <c r="A81" s="1134"/>
      <c r="B81" s="1136"/>
      <c r="C81" s="1139"/>
      <c r="D81" s="1141"/>
      <c r="E81" s="1143"/>
      <c r="F81" s="1148"/>
      <c r="G81" s="1148"/>
      <c r="H81" s="1148"/>
      <c r="I81" s="1148"/>
      <c r="J81" s="1148"/>
      <c r="K81" s="1148"/>
      <c r="L81" s="807" t="s">
        <v>365</v>
      </c>
      <c r="M81" s="254" t="s">
        <v>124</v>
      </c>
      <c r="N81" s="715">
        <v>2.7E-2</v>
      </c>
      <c r="O81" s="716">
        <f>E79*N81</f>
        <v>5.9400000000000001E-2</v>
      </c>
      <c r="P81" s="355">
        <v>0.83299999999999996</v>
      </c>
      <c r="Q81" s="717">
        <f>N81*P81*$N$11</f>
        <v>2.5920947222100005E-2</v>
      </c>
      <c r="R81" s="1020"/>
      <c r="S81" s="1020"/>
      <c r="T81" s="1020"/>
      <c r="U81" s="1144"/>
      <c r="V81" s="273">
        <f t="shared" si="0"/>
        <v>0</v>
      </c>
      <c r="W81" s="274">
        <f t="shared" si="1"/>
        <v>0</v>
      </c>
      <c r="X81" s="567"/>
      <c r="Y81" s="805"/>
      <c r="Z81" s="209"/>
      <c r="AA81" s="805"/>
      <c r="AB81" s="209"/>
      <c r="AC81" s="209"/>
      <c r="AD81" s="209"/>
      <c r="AE81" s="667"/>
      <c r="AF81" s="667"/>
      <c r="AG81" s="667"/>
      <c r="AH81" s="667"/>
      <c r="AI81" s="667"/>
      <c r="AJ81" s="667"/>
      <c r="AK81" s="667"/>
    </row>
    <row r="82" spans="1:37" s="681" customFormat="1" ht="18" customHeight="1">
      <c r="A82" s="1350">
        <f>+A79+1</f>
        <v>21</v>
      </c>
      <c r="B82" s="1352" t="s">
        <v>357</v>
      </c>
      <c r="C82" s="1354" t="s">
        <v>484</v>
      </c>
      <c r="D82" s="1356" t="s">
        <v>122</v>
      </c>
      <c r="E82" s="1358">
        <v>5.6</v>
      </c>
      <c r="F82" s="1360">
        <v>0.27400000000000002</v>
      </c>
      <c r="G82" s="1360"/>
      <c r="H82" s="1360"/>
      <c r="I82" s="1361">
        <v>2.0799999999999999E-2</v>
      </c>
      <c r="J82" s="1361"/>
      <c r="K82" s="1361"/>
      <c r="L82" s="673"/>
      <c r="M82" s="674"/>
      <c r="N82" s="675"/>
      <c r="O82" s="676"/>
      <c r="P82" s="676"/>
      <c r="Q82" s="677"/>
      <c r="R82" s="781">
        <f>F83+I83</f>
        <v>0.7073724480000001</v>
      </c>
      <c r="S82" s="1362">
        <f>R82+R83</f>
        <v>1.5300291607800003</v>
      </c>
      <c r="T82" s="1362">
        <f>E82*S82</f>
        <v>8.5681633003680009</v>
      </c>
      <c r="U82" s="1363">
        <f>E82*Q83</f>
        <v>4.6068775915680007</v>
      </c>
      <c r="V82" s="273">
        <f t="shared" si="0"/>
        <v>2.0317826034764033</v>
      </c>
      <c r="W82" s="274">
        <f t="shared" si="1"/>
        <v>11.377982579467858</v>
      </c>
      <c r="X82" s="567"/>
      <c r="Y82" s="679"/>
      <c r="Z82" s="680"/>
      <c r="AA82" s="680"/>
      <c r="AB82" s="680"/>
      <c r="AC82" s="680"/>
      <c r="AD82" s="680"/>
      <c r="AE82" s="680"/>
      <c r="AF82" s="680"/>
      <c r="AG82" s="680"/>
      <c r="AH82" s="680"/>
      <c r="AI82" s="680"/>
      <c r="AJ82" s="680"/>
      <c r="AK82" s="680"/>
    </row>
    <row r="83" spans="1:37" s="681" customFormat="1" ht="20.25" customHeight="1">
      <c r="A83" s="1351"/>
      <c r="B83" s="1353"/>
      <c r="C83" s="1355"/>
      <c r="D83" s="1357"/>
      <c r="E83" s="1359"/>
      <c r="F83" s="1362">
        <f>F82*$J$13/1000</f>
        <v>0.64033800000000007</v>
      </c>
      <c r="G83" s="1362"/>
      <c r="H83" s="1362"/>
      <c r="I83" s="1362">
        <f>I82*$Q$13/1000</f>
        <v>6.7034447999999996E-2</v>
      </c>
      <c r="J83" s="1362"/>
      <c r="K83" s="1362"/>
      <c r="L83" s="682" t="s">
        <v>358</v>
      </c>
      <c r="M83" s="683" t="s">
        <v>124</v>
      </c>
      <c r="N83" s="684">
        <f>0.0043*1000</f>
        <v>4.3</v>
      </c>
      <c r="O83" s="685">
        <f>E82*N83</f>
        <v>24.08</v>
      </c>
      <c r="P83" s="686">
        <v>0.16600000000000001</v>
      </c>
      <c r="Q83" s="687">
        <f>N83*P83*$N$11</f>
        <v>0.82265671278000019</v>
      </c>
      <c r="R83" s="781">
        <f>SUM(Q83:Q83)</f>
        <v>0.82265671278000019</v>
      </c>
      <c r="S83" s="1362"/>
      <c r="T83" s="1362"/>
      <c r="U83" s="1363"/>
      <c r="V83" s="273">
        <f t="shared" si="0"/>
        <v>0</v>
      </c>
      <c r="W83" s="274">
        <f t="shared" si="1"/>
        <v>0</v>
      </c>
      <c r="X83" s="567"/>
      <c r="Y83" s="679"/>
      <c r="Z83" s="680"/>
      <c r="AA83" s="680"/>
      <c r="AB83" s="680"/>
      <c r="AC83" s="680"/>
      <c r="AD83" s="680"/>
      <c r="AE83" s="680"/>
      <c r="AF83" s="680"/>
      <c r="AG83" s="680"/>
      <c r="AH83" s="680"/>
      <c r="AI83" s="680"/>
      <c r="AJ83" s="680"/>
      <c r="AK83" s="680"/>
    </row>
    <row r="84" spans="1:37" s="721" customFormat="1" ht="12.75" customHeight="1">
      <c r="A84" s="1133">
        <f>+A82+1</f>
        <v>22</v>
      </c>
      <c r="B84" s="1135" t="s">
        <v>412</v>
      </c>
      <c r="C84" s="1137" t="s">
        <v>414</v>
      </c>
      <c r="D84" s="1140" t="s">
        <v>124</v>
      </c>
      <c r="E84" s="1142">
        <f>0.072*1000</f>
        <v>72</v>
      </c>
      <c r="F84" s="1193">
        <f>34.3/1000</f>
        <v>3.4299999999999997E-2</v>
      </c>
      <c r="G84" s="1194"/>
      <c r="H84" s="1195"/>
      <c r="I84" s="1193">
        <v>1E-3</v>
      </c>
      <c r="J84" s="1194"/>
      <c r="K84" s="1195"/>
      <c r="L84" s="417"/>
      <c r="M84" s="898"/>
      <c r="N84" s="705"/>
      <c r="O84" s="705"/>
      <c r="P84" s="797"/>
      <c r="Q84" s="706"/>
      <c r="R84" s="790">
        <f>F85+I85</f>
        <v>8.3381910000000004E-2</v>
      </c>
      <c r="S84" s="1020">
        <f>R84+R85</f>
        <v>0.63201948572400024</v>
      </c>
      <c r="T84" s="1020">
        <f>E84*S84</f>
        <v>45.505402972128017</v>
      </c>
      <c r="U84" s="1144">
        <f>R85*E84</f>
        <v>39.501905452128014</v>
      </c>
      <c r="V84" s="273">
        <f t="shared" si="0"/>
        <v>0.83928217126102778</v>
      </c>
      <c r="W84" s="274">
        <f t="shared" si="1"/>
        <v>60.428316330793997</v>
      </c>
      <c r="X84" s="567"/>
      <c r="Y84" s="805"/>
      <c r="Z84" s="209"/>
      <c r="AA84" s="805"/>
      <c r="AB84" s="209"/>
      <c r="AC84" s="209"/>
      <c r="AD84" s="209"/>
      <c r="AE84" s="667"/>
      <c r="AF84" s="667"/>
      <c r="AG84" s="667"/>
      <c r="AH84" s="667"/>
      <c r="AI84" s="667"/>
      <c r="AJ84" s="667"/>
      <c r="AK84" s="667"/>
    </row>
    <row r="85" spans="1:37" s="721" customFormat="1" ht="12.75" customHeight="1">
      <c r="A85" s="1134"/>
      <c r="B85" s="1136"/>
      <c r="C85" s="1138"/>
      <c r="D85" s="1141"/>
      <c r="E85" s="1143"/>
      <c r="F85" s="1148">
        <f>F84*J$13/1000</f>
        <v>8.0159099999999997E-2</v>
      </c>
      <c r="G85" s="1148"/>
      <c r="H85" s="1148"/>
      <c r="I85" s="1148">
        <f>I84*$Q$13/1000</f>
        <v>3.22281E-3</v>
      </c>
      <c r="J85" s="1148"/>
      <c r="K85" s="1148"/>
      <c r="L85" s="808" t="s">
        <v>403</v>
      </c>
      <c r="M85" s="250" t="s">
        <v>124</v>
      </c>
      <c r="N85" s="265">
        <v>1</v>
      </c>
      <c r="O85" s="340">
        <f>E84*N85</f>
        <v>72</v>
      </c>
      <c r="P85" s="341">
        <v>0.47499999999999998</v>
      </c>
      <c r="Q85" s="714">
        <f>N85*P85*$N$11</f>
        <v>0.54743897250000018</v>
      </c>
      <c r="R85" s="1020">
        <f>SUM(Q85:Q86)</f>
        <v>0.54863757572400018</v>
      </c>
      <c r="S85" s="1020"/>
      <c r="T85" s="1020"/>
      <c r="U85" s="1144"/>
      <c r="V85" s="273">
        <f t="shared" ref="V85:V148" si="4">+$V$14*S85</f>
        <v>0</v>
      </c>
      <c r="W85" s="274">
        <f t="shared" ref="W85:W148" si="5">+V85*E85</f>
        <v>0</v>
      </c>
      <c r="X85" s="567"/>
      <c r="Y85" s="805"/>
      <c r="Z85" s="209"/>
      <c r="AA85" s="568" t="s">
        <v>364</v>
      </c>
      <c r="AB85" s="209"/>
      <c r="AC85" s="209"/>
      <c r="AD85" s="209"/>
      <c r="AE85" s="667"/>
      <c r="AF85" s="667"/>
      <c r="AG85" s="667"/>
      <c r="AH85" s="667"/>
      <c r="AI85" s="667"/>
      <c r="AJ85" s="667"/>
      <c r="AK85" s="667"/>
    </row>
    <row r="86" spans="1:37" s="721" customFormat="1" ht="12.75" customHeight="1">
      <c r="A86" s="1134"/>
      <c r="B86" s="1136"/>
      <c r="C86" s="1139"/>
      <c r="D86" s="1141"/>
      <c r="E86" s="1143"/>
      <c r="F86" s="1148"/>
      <c r="G86" s="1148"/>
      <c r="H86" s="1148"/>
      <c r="I86" s="1148"/>
      <c r="J86" s="1148"/>
      <c r="K86" s="1148"/>
      <c r="L86" s="809" t="s">
        <v>190</v>
      </c>
      <c r="M86" s="457" t="s">
        <v>124</v>
      </c>
      <c r="N86" s="802">
        <f>1.04/1000</f>
        <v>1.0400000000000001E-3</v>
      </c>
      <c r="O86" s="256">
        <f>E82*N86</f>
        <v>5.8240000000000002E-3</v>
      </c>
      <c r="P86" s="467">
        <v>1</v>
      </c>
      <c r="Q86" s="258">
        <f>N86*P86*$N$11</f>
        <v>1.1986032240000005E-3</v>
      </c>
      <c r="R86" s="1020"/>
      <c r="S86" s="1020"/>
      <c r="T86" s="1020"/>
      <c r="U86" s="1144"/>
      <c r="V86" s="273">
        <f t="shared" si="4"/>
        <v>0</v>
      </c>
      <c r="W86" s="274">
        <f t="shared" si="5"/>
        <v>0</v>
      </c>
      <c r="X86" s="567"/>
      <c r="Y86" s="805"/>
      <c r="Z86" s="209"/>
      <c r="AA86" s="805"/>
      <c r="AB86" s="209"/>
      <c r="AC86" s="209"/>
      <c r="AD86" s="209"/>
      <c r="AE86" s="667"/>
      <c r="AF86" s="667"/>
      <c r="AG86" s="667"/>
      <c r="AH86" s="667"/>
      <c r="AI86" s="667"/>
      <c r="AJ86" s="667"/>
      <c r="AK86" s="667"/>
    </row>
    <row r="87" spans="1:37" s="810" customFormat="1" ht="12.75" customHeight="1">
      <c r="A87" s="1062">
        <f>+A84+1</f>
        <v>23</v>
      </c>
      <c r="B87" s="1064" t="s">
        <v>413</v>
      </c>
      <c r="C87" s="1066" t="s">
        <v>415</v>
      </c>
      <c r="D87" s="1068" t="s">
        <v>124</v>
      </c>
      <c r="E87" s="1069">
        <v>29</v>
      </c>
      <c r="F87" s="1347">
        <f>35.9/1000</f>
        <v>3.5900000000000001E-2</v>
      </c>
      <c r="G87" s="1347"/>
      <c r="H87" s="1347"/>
      <c r="I87" s="1348">
        <f>0.2/1000</f>
        <v>2.0000000000000001E-4</v>
      </c>
      <c r="J87" s="1348"/>
      <c r="K87" s="1348"/>
      <c r="L87" s="673"/>
      <c r="M87" s="674"/>
      <c r="N87" s="675"/>
      <c r="O87" s="676"/>
      <c r="P87" s="676"/>
      <c r="Q87" s="677"/>
      <c r="R87" s="868">
        <f>F88+I88</f>
        <v>8.454286200000001E-2</v>
      </c>
      <c r="S87" s="1071">
        <f>R87+R88</f>
        <v>0.60590068934700025</v>
      </c>
      <c r="T87" s="1071">
        <f>E87*S87</f>
        <v>17.571119991063007</v>
      </c>
      <c r="U87" s="1071">
        <f>R88*E87</f>
        <v>15.119376993063005</v>
      </c>
      <c r="V87" s="273">
        <f t="shared" si="4"/>
        <v>0.80459805055088562</v>
      </c>
      <c r="W87" s="274">
        <f t="shared" si="5"/>
        <v>23.333343465975684</v>
      </c>
      <c r="X87" s="567"/>
      <c r="Y87" s="869"/>
      <c r="Z87" s="869"/>
      <c r="AA87" s="869"/>
      <c r="AB87" s="869"/>
      <c r="AC87" s="869"/>
      <c r="AD87" s="869"/>
      <c r="AE87" s="869"/>
    </row>
    <row r="88" spans="1:37" s="810" customFormat="1" ht="22.5">
      <c r="A88" s="1063"/>
      <c r="B88" s="1065"/>
      <c r="C88" s="1067"/>
      <c r="D88" s="1063"/>
      <c r="E88" s="1070"/>
      <c r="F88" s="1072">
        <f>F87*J$13/1000</f>
        <v>8.3898300000000009E-2</v>
      </c>
      <c r="G88" s="1072"/>
      <c r="H88" s="1072"/>
      <c r="I88" s="1073">
        <f>I87*$Q$13/1000</f>
        <v>6.44562E-4</v>
      </c>
      <c r="J88" s="1073"/>
      <c r="K88" s="1073"/>
      <c r="L88" s="342" t="s">
        <v>347</v>
      </c>
      <c r="M88" s="812" t="s">
        <v>124</v>
      </c>
      <c r="N88" s="813">
        <v>1.0049999999999999</v>
      </c>
      <c r="O88" s="814">
        <f>E87*N88</f>
        <v>29.144999999999996</v>
      </c>
      <c r="P88" s="814">
        <v>0.45</v>
      </c>
      <c r="Q88" s="820">
        <f>N88*P88*$N$11</f>
        <v>0.52121952697500018</v>
      </c>
      <c r="R88" s="1074">
        <f>SUM(Q88:Q89)</f>
        <v>0.5213578273470002</v>
      </c>
      <c r="S88" s="1071"/>
      <c r="T88" s="1071"/>
      <c r="U88" s="1071"/>
      <c r="V88" s="273">
        <f t="shared" si="4"/>
        <v>0</v>
      </c>
      <c r="W88" s="274">
        <f t="shared" si="5"/>
        <v>0</v>
      </c>
      <c r="X88" s="567"/>
      <c r="Y88" s="869"/>
      <c r="Z88" s="869"/>
      <c r="AA88" s="869"/>
      <c r="AB88" s="869"/>
      <c r="AC88" s="869"/>
      <c r="AD88" s="869"/>
      <c r="AE88" s="869"/>
    </row>
    <row r="89" spans="1:37" s="810" customFormat="1" ht="12.75">
      <c r="A89" s="1063"/>
      <c r="B89" s="1065"/>
      <c r="C89" s="1067"/>
      <c r="D89" s="1063"/>
      <c r="E89" s="1070"/>
      <c r="F89" s="1072"/>
      <c r="G89" s="1072"/>
      <c r="H89" s="1072"/>
      <c r="I89" s="1073"/>
      <c r="J89" s="1073"/>
      <c r="K89" s="1073"/>
      <c r="L89" s="815" t="s">
        <v>190</v>
      </c>
      <c r="M89" s="816" t="s">
        <v>124</v>
      </c>
      <c r="N89" s="817">
        <f>0.12/1000</f>
        <v>1.1999999999999999E-4</v>
      </c>
      <c r="O89" s="818">
        <f>E87*N89</f>
        <v>3.4799999999999996E-3</v>
      </c>
      <c r="P89" s="819">
        <v>1</v>
      </c>
      <c r="Q89" s="821">
        <f>N89*P89*$N$11</f>
        <v>1.3830037200000003E-4</v>
      </c>
      <c r="R89" s="1074"/>
      <c r="S89" s="1071"/>
      <c r="T89" s="1071"/>
      <c r="U89" s="1071"/>
      <c r="V89" s="273">
        <f t="shared" si="4"/>
        <v>0</v>
      </c>
      <c r="W89" s="274">
        <f t="shared" si="5"/>
        <v>0</v>
      </c>
      <c r="X89" s="567"/>
      <c r="Y89" s="869"/>
      <c r="Z89" s="869"/>
      <c r="AA89" s="869"/>
      <c r="AB89" s="869"/>
      <c r="AC89" s="869"/>
      <c r="AD89" s="869"/>
      <c r="AE89" s="869"/>
    </row>
    <row r="90" spans="1:37" s="721" customFormat="1" ht="12.75" customHeight="1">
      <c r="A90" s="1349">
        <f>+A87+1</f>
        <v>24</v>
      </c>
      <c r="B90" s="1135" t="s">
        <v>362</v>
      </c>
      <c r="C90" s="1137" t="s">
        <v>363</v>
      </c>
      <c r="D90" s="1140" t="s">
        <v>122</v>
      </c>
      <c r="E90" s="1142">
        <v>3.5</v>
      </c>
      <c r="F90" s="1148">
        <v>0.38400000000000001</v>
      </c>
      <c r="G90" s="1148"/>
      <c r="H90" s="1148"/>
      <c r="I90" s="1214">
        <f>0.03/100</f>
        <v>2.9999999999999997E-4</v>
      </c>
      <c r="J90" s="1215"/>
      <c r="K90" s="1216"/>
      <c r="L90" s="417"/>
      <c r="M90" s="898"/>
      <c r="N90" s="705"/>
      <c r="O90" s="705"/>
      <c r="P90" s="797"/>
      <c r="Q90" s="706"/>
      <c r="R90" s="790">
        <f>F91+I91</f>
        <v>0.89837484300000003</v>
      </c>
      <c r="S90" s="1020">
        <f>R90+R91</f>
        <v>1.2786904934721002</v>
      </c>
      <c r="T90" s="1020">
        <f>E90*S90</f>
        <v>4.4754167271523508</v>
      </c>
      <c r="U90" s="1144">
        <f>R91*E90</f>
        <v>1.3311047766523505</v>
      </c>
      <c r="V90" s="273">
        <f t="shared" si="4"/>
        <v>1.6980206433077485</v>
      </c>
      <c r="W90" s="274">
        <f t="shared" si="5"/>
        <v>5.9430722515771199</v>
      </c>
      <c r="X90" s="567"/>
      <c r="Y90" s="805"/>
      <c r="Z90" s="209"/>
      <c r="AA90" s="805"/>
      <c r="AB90" s="209"/>
      <c r="AC90" s="209"/>
      <c r="AD90" s="209"/>
      <c r="AE90" s="667"/>
      <c r="AF90" s="667"/>
      <c r="AG90" s="667"/>
      <c r="AH90" s="667"/>
      <c r="AI90" s="667"/>
      <c r="AJ90" s="667"/>
      <c r="AK90" s="667"/>
    </row>
    <row r="91" spans="1:37" s="721" customFormat="1" ht="17.25" customHeight="1">
      <c r="A91" s="1134"/>
      <c r="B91" s="1136"/>
      <c r="C91" s="1138"/>
      <c r="D91" s="1141"/>
      <c r="E91" s="1143"/>
      <c r="F91" s="1148">
        <f>F90*J$13/1000</f>
        <v>0.89740799999999998</v>
      </c>
      <c r="G91" s="1148"/>
      <c r="H91" s="1148"/>
      <c r="I91" s="1148">
        <f>I90*$Q$13/1000</f>
        <v>9.6684299999999989E-4</v>
      </c>
      <c r="J91" s="1148"/>
      <c r="K91" s="1148"/>
      <c r="L91" s="806" t="s">
        <v>130</v>
      </c>
      <c r="M91" s="250" t="s">
        <v>124</v>
      </c>
      <c r="N91" s="712">
        <v>0.246</v>
      </c>
      <c r="O91" s="713">
        <f>E90*N91</f>
        <v>0.86099999999999999</v>
      </c>
      <c r="P91" s="341">
        <v>1.25</v>
      </c>
      <c r="Q91" s="714">
        <f>N91*P91*$N$11</f>
        <v>0.35439470325000011</v>
      </c>
      <c r="R91" s="1020">
        <f>SUM(Q91:Q92)</f>
        <v>0.38031565047210014</v>
      </c>
      <c r="S91" s="1020"/>
      <c r="T91" s="1020"/>
      <c r="U91" s="1144"/>
      <c r="V91" s="273">
        <f t="shared" si="4"/>
        <v>0</v>
      </c>
      <c r="W91" s="274">
        <f t="shared" si="5"/>
        <v>0</v>
      </c>
      <c r="X91" s="567"/>
      <c r="Y91" s="805"/>
      <c r="Z91" s="209"/>
      <c r="AA91" s="568" t="s">
        <v>364</v>
      </c>
      <c r="AB91" s="209"/>
      <c r="AC91" s="209"/>
      <c r="AD91" s="209"/>
      <c r="AE91" s="667"/>
      <c r="AF91" s="667"/>
      <c r="AG91" s="667"/>
      <c r="AH91" s="667"/>
      <c r="AI91" s="667"/>
      <c r="AJ91" s="667"/>
      <c r="AK91" s="667"/>
    </row>
    <row r="92" spans="1:37" s="721" customFormat="1" ht="17.25" customHeight="1">
      <c r="A92" s="1134"/>
      <c r="B92" s="1136"/>
      <c r="C92" s="1139"/>
      <c r="D92" s="1141"/>
      <c r="E92" s="1143"/>
      <c r="F92" s="1148"/>
      <c r="G92" s="1148"/>
      <c r="H92" s="1148"/>
      <c r="I92" s="1148"/>
      <c r="J92" s="1148"/>
      <c r="K92" s="1148"/>
      <c r="L92" s="807" t="s">
        <v>365</v>
      </c>
      <c r="M92" s="254" t="s">
        <v>124</v>
      </c>
      <c r="N92" s="715">
        <v>2.7E-2</v>
      </c>
      <c r="O92" s="716">
        <f>E90*N92</f>
        <v>9.4500000000000001E-2</v>
      </c>
      <c r="P92" s="355">
        <v>0.83299999999999996</v>
      </c>
      <c r="Q92" s="717">
        <f>N92*P92*$N$11</f>
        <v>2.5920947222100005E-2</v>
      </c>
      <c r="R92" s="1020"/>
      <c r="S92" s="1020"/>
      <c r="T92" s="1020"/>
      <c r="U92" s="1144"/>
      <c r="V92" s="273">
        <f t="shared" si="4"/>
        <v>0</v>
      </c>
      <c r="W92" s="274">
        <f t="shared" si="5"/>
        <v>0</v>
      </c>
      <c r="X92" s="567"/>
      <c r="Y92" s="805"/>
      <c r="Z92" s="209"/>
      <c r="AA92" s="805"/>
      <c r="AB92" s="209"/>
      <c r="AC92" s="209"/>
      <c r="AD92" s="209"/>
      <c r="AE92" s="667"/>
      <c r="AF92" s="667"/>
      <c r="AG92" s="667"/>
      <c r="AH92" s="667"/>
      <c r="AI92" s="667"/>
      <c r="AJ92" s="667"/>
      <c r="AK92" s="667"/>
    </row>
    <row r="93" spans="1:37" s="156" customFormat="1" ht="15" customHeight="1">
      <c r="A93" s="1023">
        <f>+A90+1</f>
        <v>25</v>
      </c>
      <c r="B93" s="1008" t="s">
        <v>360</v>
      </c>
      <c r="C93" s="1011" t="s">
        <v>366</v>
      </c>
      <c r="D93" s="1014" t="s">
        <v>326</v>
      </c>
      <c r="E93" s="1267">
        <v>0.188</v>
      </c>
      <c r="F93" s="1193">
        <v>19.399999999999999</v>
      </c>
      <c r="G93" s="1194"/>
      <c r="H93" s="1195"/>
      <c r="I93" s="1201">
        <v>4</v>
      </c>
      <c r="J93" s="1202"/>
      <c r="K93" s="1203"/>
      <c r="L93" s="673"/>
      <c r="M93" s="674"/>
      <c r="N93" s="675"/>
      <c r="O93" s="676"/>
      <c r="P93" s="676"/>
      <c r="Q93" s="677"/>
      <c r="R93" s="794">
        <f>F94+I94</f>
        <v>58.229039999999998</v>
      </c>
      <c r="S93" s="987">
        <f>R93+R94</f>
        <v>76.80738997200001</v>
      </c>
      <c r="T93" s="1027">
        <f>E93*S93</f>
        <v>14.439789314736002</v>
      </c>
      <c r="U93" s="995">
        <f>R94*E93</f>
        <v>3.4927297947360008</v>
      </c>
      <c r="V93" s="273">
        <f t="shared" si="4"/>
        <v>101.9953885610789</v>
      </c>
      <c r="W93" s="274">
        <f t="shared" si="5"/>
        <v>19.175133049482834</v>
      </c>
      <c r="X93" s="567"/>
      <c r="Y93" s="239"/>
    </row>
    <row r="94" spans="1:37" s="156" customFormat="1" ht="17.25" customHeight="1">
      <c r="A94" s="1006"/>
      <c r="B94" s="1009"/>
      <c r="C94" s="1012"/>
      <c r="D94" s="1015"/>
      <c r="E94" s="1268"/>
      <c r="F94" s="1164">
        <f>F93*J$13/1000</f>
        <v>45.337799999999994</v>
      </c>
      <c r="G94" s="1165"/>
      <c r="H94" s="1166"/>
      <c r="I94" s="1164">
        <f>I93*$Q$13/1000</f>
        <v>12.89124</v>
      </c>
      <c r="J94" s="1165"/>
      <c r="K94" s="1166"/>
      <c r="L94" s="808"/>
      <c r="M94" s="250"/>
      <c r="N94" s="265"/>
      <c r="O94" s="340"/>
      <c r="P94" s="341"/>
      <c r="Q94" s="714"/>
      <c r="R94" s="987">
        <f>SUM(Q94:Q95)</f>
        <v>18.578349972000005</v>
      </c>
      <c r="S94" s="988"/>
      <c r="T94" s="1027"/>
      <c r="U94" s="995"/>
      <c r="V94" s="273">
        <f t="shared" si="4"/>
        <v>0</v>
      </c>
      <c r="W94" s="274">
        <f t="shared" si="5"/>
        <v>0</v>
      </c>
      <c r="X94" s="567"/>
      <c r="Y94" s="239"/>
    </row>
    <row r="95" spans="1:37" s="694" customFormat="1" ht="17.25" customHeight="1">
      <c r="A95" s="1007"/>
      <c r="B95" s="1010"/>
      <c r="C95" s="1013"/>
      <c r="D95" s="1016"/>
      <c r="E95" s="1269"/>
      <c r="F95" s="1225"/>
      <c r="G95" s="1226"/>
      <c r="H95" s="1167"/>
      <c r="I95" s="1225"/>
      <c r="J95" s="1226"/>
      <c r="K95" s="1167"/>
      <c r="L95" s="809" t="s">
        <v>190</v>
      </c>
      <c r="M95" s="457" t="s">
        <v>124</v>
      </c>
      <c r="N95" s="811">
        <v>20</v>
      </c>
      <c r="O95" s="256">
        <f>E93*N95</f>
        <v>3.76</v>
      </c>
      <c r="P95" s="467">
        <v>0.80600000000000005</v>
      </c>
      <c r="Q95" s="258">
        <f>N95*P95*$N$11</f>
        <v>18.578349972000005</v>
      </c>
      <c r="R95" s="989"/>
      <c r="S95" s="989"/>
      <c r="T95" s="1027"/>
      <c r="U95" s="995"/>
      <c r="V95" s="273">
        <f t="shared" si="4"/>
        <v>0</v>
      </c>
      <c r="W95" s="274">
        <f t="shared" si="5"/>
        <v>0</v>
      </c>
      <c r="X95" s="567"/>
      <c r="Y95" s="693"/>
      <c r="Z95" s="693"/>
      <c r="AA95" s="693"/>
      <c r="AB95" s="693"/>
      <c r="AC95" s="693"/>
      <c r="AD95" s="693"/>
      <c r="AE95" s="693"/>
      <c r="AF95" s="693"/>
      <c r="AG95" s="693"/>
      <c r="AH95" s="693"/>
      <c r="AI95" s="693"/>
      <c r="AJ95" s="693"/>
      <c r="AK95" s="693"/>
    </row>
    <row r="96" spans="1:37" s="694" customFormat="1" ht="12.75" customHeight="1">
      <c r="A96" s="1000">
        <f>+A90+1</f>
        <v>25</v>
      </c>
      <c r="B96" s="1001" t="s">
        <v>191</v>
      </c>
      <c r="C96" s="965" t="s">
        <v>416</v>
      </c>
      <c r="D96" s="966" t="s">
        <v>116</v>
      </c>
      <c r="E96" s="1003">
        <v>1</v>
      </c>
      <c r="F96" s="967"/>
      <c r="G96" s="967"/>
      <c r="H96" s="967"/>
      <c r="I96" s="1004"/>
      <c r="J96" s="1004"/>
      <c r="K96" s="1004"/>
      <c r="L96" s="267"/>
      <c r="M96" s="898"/>
      <c r="N96" s="797"/>
      <c r="O96" s="797"/>
      <c r="P96" s="268"/>
      <c r="Q96" s="801"/>
      <c r="R96" s="788">
        <f>F97+I97</f>
        <v>0</v>
      </c>
      <c r="S96" s="999">
        <f>R96+R97</f>
        <v>20.073146492700008</v>
      </c>
      <c r="T96" s="999">
        <f>E96*S96</f>
        <v>20.073146492700008</v>
      </c>
      <c r="U96" s="964">
        <f>R97*E96</f>
        <v>20.073146492700008</v>
      </c>
      <c r="V96" s="273">
        <f t="shared" si="4"/>
        <v>26.65587747367486</v>
      </c>
      <c r="W96" s="274">
        <f t="shared" si="5"/>
        <v>26.65587747367486</v>
      </c>
      <c r="X96" s="567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</row>
    <row r="97" spans="1:256" s="694" customFormat="1" ht="12.75" customHeight="1">
      <c r="A97" s="1000"/>
      <c r="B97" s="1002"/>
      <c r="C97" s="965"/>
      <c r="D97" s="966"/>
      <c r="E97" s="1003"/>
      <c r="F97" s="967"/>
      <c r="G97" s="967"/>
      <c r="H97" s="967"/>
      <c r="I97" s="967"/>
      <c r="J97" s="967"/>
      <c r="K97" s="967"/>
      <c r="L97" s="248" t="s">
        <v>253</v>
      </c>
      <c r="M97" s="243" t="s">
        <v>116</v>
      </c>
      <c r="N97" s="244">
        <v>1</v>
      </c>
      <c r="O97" s="247">
        <f>E96*N97</f>
        <v>1</v>
      </c>
      <c r="P97" s="240">
        <v>17.417000000000002</v>
      </c>
      <c r="Q97" s="245">
        <f>N97*P97*$N$11</f>
        <v>20.073146492700008</v>
      </c>
      <c r="R97" s="788">
        <f>SUM(Q97:Q97)</f>
        <v>20.073146492700008</v>
      </c>
      <c r="S97" s="999"/>
      <c r="T97" s="999"/>
      <c r="U97" s="964"/>
      <c r="V97" s="273">
        <f t="shared" si="4"/>
        <v>0</v>
      </c>
      <c r="W97" s="274">
        <f t="shared" si="5"/>
        <v>0</v>
      </c>
      <c r="X97" s="567"/>
      <c r="Y97" s="693"/>
      <c r="Z97" s="693"/>
      <c r="AA97" s="693"/>
      <c r="AB97" s="693"/>
      <c r="AC97" s="693"/>
      <c r="AD97" s="693"/>
      <c r="AE97" s="693"/>
      <c r="AF97" s="693"/>
      <c r="AG97" s="693"/>
      <c r="AH97" s="693"/>
      <c r="AI97" s="693"/>
      <c r="AJ97" s="693"/>
      <c r="AK97" s="693"/>
    </row>
    <row r="98" spans="1:256" s="694" customFormat="1" ht="12.75" customHeight="1">
      <c r="A98" s="1000">
        <f>+A96+1</f>
        <v>26</v>
      </c>
      <c r="B98" s="1001" t="s">
        <v>191</v>
      </c>
      <c r="C98" s="965" t="s">
        <v>417</v>
      </c>
      <c r="D98" s="966" t="s">
        <v>116</v>
      </c>
      <c r="E98" s="1003">
        <v>0.7</v>
      </c>
      <c r="F98" s="967"/>
      <c r="G98" s="967"/>
      <c r="H98" s="967"/>
      <c r="I98" s="1004"/>
      <c r="J98" s="1004"/>
      <c r="K98" s="1004"/>
      <c r="L98" s="267"/>
      <c r="M98" s="898"/>
      <c r="N98" s="797"/>
      <c r="O98" s="797"/>
      <c r="P98" s="268"/>
      <c r="Q98" s="801"/>
      <c r="R98" s="788">
        <f>F99+I99</f>
        <v>0</v>
      </c>
      <c r="S98" s="999">
        <f>R98+R99</f>
        <v>74.371025043000017</v>
      </c>
      <c r="T98" s="999">
        <f>E98*S98</f>
        <v>52.059717530100009</v>
      </c>
      <c r="U98" s="964">
        <f>R99*E98</f>
        <v>52.059717530100009</v>
      </c>
      <c r="V98" s="273">
        <f t="shared" si="4"/>
        <v>98.76004899674102</v>
      </c>
      <c r="W98" s="274">
        <f t="shared" si="5"/>
        <v>69.132034297718704</v>
      </c>
      <c r="X98" s="567"/>
      <c r="Y98" s="693"/>
      <c r="Z98" s="693"/>
      <c r="AA98" s="693"/>
      <c r="AB98" s="693"/>
      <c r="AC98" s="693"/>
      <c r="AD98" s="693"/>
      <c r="AE98" s="693"/>
      <c r="AF98" s="693"/>
      <c r="AG98" s="693"/>
      <c r="AH98" s="693"/>
      <c r="AI98" s="693"/>
      <c r="AJ98" s="693"/>
      <c r="AK98" s="693"/>
    </row>
    <row r="99" spans="1:256" s="694" customFormat="1" ht="12.75" customHeight="1">
      <c r="A99" s="1000"/>
      <c r="B99" s="1002"/>
      <c r="C99" s="965"/>
      <c r="D99" s="966"/>
      <c r="E99" s="1003"/>
      <c r="F99" s="967"/>
      <c r="G99" s="967"/>
      <c r="H99" s="967"/>
      <c r="I99" s="967"/>
      <c r="J99" s="967"/>
      <c r="K99" s="967"/>
      <c r="L99" s="248" t="s">
        <v>418</v>
      </c>
      <c r="M99" s="243" t="s">
        <v>116</v>
      </c>
      <c r="N99" s="244">
        <v>1</v>
      </c>
      <c r="O99" s="247">
        <f>E98*N99</f>
        <v>0.7</v>
      </c>
      <c r="P99" s="240">
        <f>107.55*0.6</f>
        <v>64.53</v>
      </c>
      <c r="Q99" s="245">
        <f>N99*P99*$N$11</f>
        <v>74.371025043000017</v>
      </c>
      <c r="R99" s="788">
        <f>SUM(Q99:Q99)</f>
        <v>74.371025043000017</v>
      </c>
      <c r="S99" s="999"/>
      <c r="T99" s="999"/>
      <c r="U99" s="964"/>
      <c r="V99" s="273">
        <f t="shared" si="4"/>
        <v>0</v>
      </c>
      <c r="W99" s="274">
        <f t="shared" si="5"/>
        <v>0</v>
      </c>
      <c r="X99" s="567"/>
      <c r="Y99" s="693"/>
      <c r="Z99" s="693"/>
      <c r="AA99" s="693"/>
      <c r="AB99" s="693"/>
      <c r="AC99" s="693"/>
      <c r="AD99" s="693"/>
      <c r="AE99" s="693"/>
      <c r="AF99" s="693"/>
      <c r="AG99" s="693"/>
      <c r="AH99" s="693"/>
      <c r="AI99" s="693"/>
      <c r="AJ99" s="693"/>
      <c r="AK99" s="693"/>
    </row>
    <row r="100" spans="1:256" s="694" customFormat="1" ht="12.75" customHeight="1">
      <c r="A100" s="1000">
        <f>+A98+1</f>
        <v>27</v>
      </c>
      <c r="B100" s="1001" t="s">
        <v>191</v>
      </c>
      <c r="C100" s="965" t="s">
        <v>419</v>
      </c>
      <c r="D100" s="966" t="s">
        <v>124</v>
      </c>
      <c r="E100" s="1003">
        <v>17</v>
      </c>
      <c r="F100" s="967"/>
      <c r="G100" s="967"/>
      <c r="H100" s="967"/>
      <c r="I100" s="1004"/>
      <c r="J100" s="1004"/>
      <c r="K100" s="1004"/>
      <c r="L100" s="267"/>
      <c r="M100" s="898"/>
      <c r="N100" s="797"/>
      <c r="O100" s="797"/>
      <c r="P100" s="268"/>
      <c r="Q100" s="801"/>
      <c r="R100" s="788">
        <f>F101+I101</f>
        <v>0</v>
      </c>
      <c r="S100" s="999">
        <f>R100+R101</f>
        <v>0.74912701500000023</v>
      </c>
      <c r="T100" s="999">
        <f>E100*S100</f>
        <v>12.735159255000005</v>
      </c>
      <c r="U100" s="964">
        <f>R101*E100</f>
        <v>12.735159255000005</v>
      </c>
      <c r="V100" s="273">
        <f t="shared" si="4"/>
        <v>0.99479361301536751</v>
      </c>
      <c r="W100" s="274">
        <f t="shared" si="5"/>
        <v>16.911491421261246</v>
      </c>
      <c r="X100" s="567"/>
      <c r="Y100" s="693"/>
      <c r="Z100" s="693"/>
      <c r="AA100" s="693"/>
      <c r="AB100" s="693"/>
      <c r="AC100" s="693"/>
      <c r="AD100" s="693"/>
      <c r="AE100" s="693"/>
      <c r="AF100" s="693"/>
      <c r="AG100" s="693"/>
      <c r="AH100" s="693"/>
      <c r="AI100" s="693"/>
      <c r="AJ100" s="693"/>
      <c r="AK100" s="693"/>
    </row>
    <row r="101" spans="1:256" s="694" customFormat="1" ht="12.75" customHeight="1">
      <c r="A101" s="1000"/>
      <c r="B101" s="1002"/>
      <c r="C101" s="965"/>
      <c r="D101" s="966"/>
      <c r="E101" s="1003"/>
      <c r="F101" s="967"/>
      <c r="G101" s="967"/>
      <c r="H101" s="967"/>
      <c r="I101" s="967"/>
      <c r="J101" s="967"/>
      <c r="K101" s="967"/>
      <c r="L101" s="808" t="s">
        <v>420</v>
      </c>
      <c r="M101" s="250" t="s">
        <v>124</v>
      </c>
      <c r="N101" s="265">
        <v>1</v>
      </c>
      <c r="O101" s="340">
        <f>E100*N101</f>
        <v>17</v>
      </c>
      <c r="P101" s="341">
        <v>0.65</v>
      </c>
      <c r="Q101" s="714">
        <f>N101*P101*$N$11</f>
        <v>0.74912701500000023</v>
      </c>
      <c r="R101" s="788">
        <f>SUM(Q101:Q101)</f>
        <v>0.74912701500000023</v>
      </c>
      <c r="S101" s="999"/>
      <c r="T101" s="999"/>
      <c r="U101" s="964"/>
      <c r="V101" s="273">
        <f t="shared" si="4"/>
        <v>0</v>
      </c>
      <c r="W101" s="274">
        <f t="shared" si="5"/>
        <v>0</v>
      </c>
      <c r="X101" s="567"/>
      <c r="Y101" s="693"/>
      <c r="Z101" s="693"/>
      <c r="AA101" s="693"/>
      <c r="AB101" s="693"/>
      <c r="AC101" s="693"/>
      <c r="AD101" s="693"/>
      <c r="AE101" s="693"/>
      <c r="AF101" s="693"/>
      <c r="AG101" s="693"/>
      <c r="AH101" s="693"/>
      <c r="AI101" s="693"/>
      <c r="AJ101" s="693"/>
      <c r="AK101" s="693"/>
    </row>
    <row r="102" spans="1:256" s="564" customFormat="1" ht="14.25" customHeight="1">
      <c r="B102" s="771"/>
      <c r="C102" s="831" t="s">
        <v>421</v>
      </c>
      <c r="D102" s="664"/>
      <c r="E102" s="664"/>
      <c r="F102" s="778"/>
      <c r="G102" s="665"/>
      <c r="H102" s="665"/>
      <c r="I102" s="665"/>
      <c r="J102" s="665"/>
      <c r="K102" s="665"/>
      <c r="L102" s="849"/>
      <c r="M102" s="665"/>
      <c r="N102" s="665"/>
      <c r="O102" s="665"/>
      <c r="P102" s="665"/>
      <c r="Q102" s="665"/>
      <c r="R102" s="665"/>
      <c r="S102" s="665"/>
      <c r="T102" s="672"/>
      <c r="U102" s="665"/>
      <c r="V102" s="273">
        <f t="shared" si="4"/>
        <v>0</v>
      </c>
      <c r="W102" s="274">
        <f t="shared" si="5"/>
        <v>0</v>
      </c>
      <c r="X102" s="567"/>
      <c r="Y102" s="666"/>
      <c r="Z102" s="666"/>
      <c r="AA102" s="666"/>
      <c r="AB102" s="666"/>
      <c r="AC102" s="666"/>
      <c r="AD102" s="666"/>
      <c r="AE102" s="666"/>
      <c r="AF102" s="666"/>
      <c r="AG102" s="666"/>
      <c r="AH102" s="666"/>
      <c r="AI102" s="666"/>
      <c r="AJ102" s="666"/>
      <c r="AK102" s="666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563"/>
      <c r="AY102" s="563"/>
      <c r="AZ102" s="563"/>
      <c r="BA102" s="563"/>
      <c r="BB102" s="563"/>
      <c r="BC102" s="563"/>
      <c r="BD102" s="563"/>
      <c r="BE102" s="563"/>
      <c r="BF102" s="563"/>
      <c r="BG102" s="563"/>
      <c r="BH102" s="563"/>
      <c r="BI102" s="563"/>
      <c r="BJ102" s="563"/>
      <c r="BK102" s="563"/>
      <c r="BL102" s="563"/>
      <c r="BM102" s="563"/>
      <c r="BN102" s="563"/>
      <c r="BO102" s="563"/>
      <c r="BP102" s="563"/>
      <c r="BQ102" s="563"/>
      <c r="BR102" s="563"/>
      <c r="BS102" s="563"/>
      <c r="BT102" s="563"/>
      <c r="BU102" s="563"/>
      <c r="BV102" s="563"/>
      <c r="BW102" s="563"/>
      <c r="BX102" s="563"/>
      <c r="BY102" s="563"/>
      <c r="BZ102" s="563"/>
      <c r="CA102" s="563"/>
      <c r="CB102" s="563"/>
      <c r="CC102" s="563"/>
      <c r="CD102" s="563"/>
      <c r="CE102" s="563"/>
      <c r="CF102" s="563"/>
      <c r="CG102" s="563"/>
      <c r="CH102" s="563"/>
      <c r="CI102" s="563"/>
      <c r="CJ102" s="563"/>
      <c r="CK102" s="563"/>
      <c r="CL102" s="563"/>
      <c r="CM102" s="563"/>
      <c r="CN102" s="563"/>
      <c r="CO102" s="563"/>
      <c r="CP102" s="563"/>
      <c r="CQ102" s="563"/>
      <c r="CR102" s="563"/>
      <c r="CS102" s="563"/>
      <c r="CT102" s="563"/>
      <c r="CU102" s="563"/>
      <c r="CV102" s="563"/>
      <c r="CW102" s="563"/>
      <c r="CX102" s="563"/>
      <c r="CY102" s="563"/>
      <c r="CZ102" s="563"/>
      <c r="DA102" s="563"/>
      <c r="DB102" s="563"/>
      <c r="DC102" s="563"/>
      <c r="DD102" s="563"/>
      <c r="DE102" s="563"/>
      <c r="DF102" s="563"/>
      <c r="DG102" s="563"/>
      <c r="DH102" s="563"/>
      <c r="DI102" s="563"/>
      <c r="DJ102" s="563"/>
      <c r="DK102" s="563"/>
      <c r="DL102" s="563"/>
      <c r="DM102" s="563"/>
      <c r="DN102" s="563"/>
      <c r="DO102" s="563"/>
      <c r="DP102" s="563"/>
      <c r="DQ102" s="563"/>
      <c r="DR102" s="563"/>
      <c r="DS102" s="563"/>
      <c r="DT102" s="563"/>
      <c r="DU102" s="563"/>
      <c r="DV102" s="563"/>
      <c r="DW102" s="563"/>
      <c r="DX102" s="563"/>
      <c r="DY102" s="563"/>
      <c r="DZ102" s="563"/>
      <c r="EA102" s="563"/>
      <c r="EB102" s="563"/>
      <c r="EC102" s="563"/>
      <c r="ED102" s="563"/>
      <c r="EE102" s="563"/>
      <c r="EF102" s="563"/>
      <c r="EG102" s="563"/>
      <c r="EH102" s="563"/>
      <c r="EI102" s="563"/>
      <c r="EJ102" s="563"/>
      <c r="EK102" s="563"/>
      <c r="EL102" s="563"/>
      <c r="EM102" s="563"/>
      <c r="EN102" s="563"/>
      <c r="EO102" s="563"/>
      <c r="EP102" s="563"/>
      <c r="EQ102" s="563"/>
      <c r="ER102" s="563"/>
      <c r="ES102" s="563"/>
      <c r="ET102" s="563"/>
      <c r="EU102" s="563"/>
      <c r="EV102" s="563"/>
      <c r="EW102" s="563"/>
      <c r="EX102" s="563"/>
      <c r="EY102" s="563"/>
      <c r="EZ102" s="563"/>
      <c r="FA102" s="563"/>
      <c r="FB102" s="563"/>
      <c r="FC102" s="563"/>
      <c r="FD102" s="563"/>
      <c r="FE102" s="563"/>
      <c r="FF102" s="563"/>
      <c r="FG102" s="563"/>
      <c r="FH102" s="563"/>
      <c r="FI102" s="563"/>
      <c r="FJ102" s="563"/>
      <c r="FK102" s="563"/>
      <c r="FL102" s="563"/>
      <c r="FM102" s="563"/>
      <c r="FN102" s="563"/>
      <c r="FO102" s="563"/>
      <c r="FP102" s="563"/>
      <c r="FQ102" s="563"/>
      <c r="FR102" s="563"/>
      <c r="FS102" s="563"/>
      <c r="FT102" s="563"/>
      <c r="FU102" s="563"/>
      <c r="FV102" s="563"/>
      <c r="FW102" s="563"/>
      <c r="FX102" s="563"/>
      <c r="FY102" s="563"/>
      <c r="FZ102" s="563"/>
      <c r="GA102" s="563"/>
      <c r="GB102" s="563"/>
      <c r="GC102" s="563"/>
      <c r="GD102" s="563"/>
      <c r="GE102" s="563"/>
      <c r="GF102" s="563"/>
      <c r="GG102" s="563"/>
      <c r="GH102" s="563"/>
      <c r="GI102" s="563"/>
      <c r="GJ102" s="563"/>
      <c r="GK102" s="563"/>
      <c r="GL102" s="563"/>
      <c r="GM102" s="563"/>
      <c r="GN102" s="563"/>
      <c r="GO102" s="563"/>
      <c r="GP102" s="563"/>
      <c r="GQ102" s="563"/>
      <c r="GR102" s="563"/>
      <c r="GS102" s="563"/>
      <c r="GT102" s="563"/>
      <c r="GU102" s="563"/>
      <c r="GV102" s="563"/>
      <c r="GW102" s="563"/>
      <c r="GX102" s="563"/>
      <c r="GY102" s="563"/>
      <c r="GZ102" s="563"/>
      <c r="HA102" s="563"/>
      <c r="HB102" s="563"/>
      <c r="HC102" s="563"/>
      <c r="HD102" s="563"/>
      <c r="HE102" s="563"/>
      <c r="HF102" s="563"/>
      <c r="HG102" s="563"/>
      <c r="HH102" s="563"/>
      <c r="HI102" s="563"/>
      <c r="HJ102" s="563"/>
      <c r="HK102" s="563"/>
      <c r="HL102" s="563"/>
      <c r="HM102" s="563"/>
      <c r="HN102" s="563"/>
      <c r="HO102" s="563"/>
      <c r="HP102" s="563"/>
      <c r="HQ102" s="563"/>
      <c r="HR102" s="563"/>
      <c r="HS102" s="563"/>
      <c r="HT102" s="563"/>
      <c r="HU102" s="563"/>
      <c r="HV102" s="563"/>
      <c r="HW102" s="563"/>
      <c r="HX102" s="563"/>
      <c r="HY102" s="563"/>
      <c r="HZ102" s="563"/>
      <c r="IA102" s="563"/>
      <c r="IB102" s="563"/>
      <c r="IC102" s="563"/>
      <c r="ID102" s="563"/>
      <c r="IE102" s="563"/>
      <c r="IF102" s="563"/>
      <c r="IG102" s="563"/>
      <c r="IH102" s="563"/>
      <c r="II102" s="563"/>
      <c r="IJ102" s="563"/>
      <c r="IK102" s="563"/>
      <c r="IL102" s="563"/>
      <c r="IM102" s="563"/>
      <c r="IN102" s="563"/>
      <c r="IO102" s="563"/>
      <c r="IP102" s="563"/>
      <c r="IQ102" s="563"/>
      <c r="IR102" s="563"/>
      <c r="IS102" s="563"/>
      <c r="IT102" s="563"/>
      <c r="IU102" s="563"/>
      <c r="IV102" s="563"/>
    </row>
    <row r="103" spans="1:256" s="335" customFormat="1" ht="21" customHeight="1">
      <c r="A103" s="1005">
        <f>+A100+1</f>
        <v>28</v>
      </c>
      <c r="B103" s="1008" t="s">
        <v>424</v>
      </c>
      <c r="C103" s="1053" t="s">
        <v>523</v>
      </c>
      <c r="D103" s="1014" t="s">
        <v>116</v>
      </c>
      <c r="E103" s="1199">
        <v>8</v>
      </c>
      <c r="F103" s="993">
        <v>0.53</v>
      </c>
      <c r="G103" s="994"/>
      <c r="H103" s="995"/>
      <c r="I103" s="993">
        <v>7.0000000000000007E-2</v>
      </c>
      <c r="J103" s="994"/>
      <c r="K103" s="995"/>
      <c r="L103" s="267"/>
      <c r="M103" s="898"/>
      <c r="N103" s="797"/>
      <c r="O103" s="797"/>
      <c r="P103" s="268"/>
      <c r="Q103" s="801"/>
      <c r="R103" s="794">
        <f>F104+I104</f>
        <v>1.4642067000000003</v>
      </c>
      <c r="S103" s="987">
        <f>R103+R104</f>
        <v>6.0108314295000014</v>
      </c>
      <c r="T103" s="987">
        <f>E103*S103</f>
        <v>48.086651436000011</v>
      </c>
      <c r="U103" s="1017">
        <f>E103*R104</f>
        <v>36.37299783600001</v>
      </c>
      <c r="V103" s="273">
        <f t="shared" si="4"/>
        <v>7.9820065159159039</v>
      </c>
      <c r="W103" s="274">
        <f t="shared" si="5"/>
        <v>63.856052127327231</v>
      </c>
      <c r="X103" s="567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</row>
    <row r="104" spans="1:256" s="335" customFormat="1" ht="21" customHeight="1">
      <c r="A104" s="1007"/>
      <c r="B104" s="1010"/>
      <c r="C104" s="1054"/>
      <c r="D104" s="1016"/>
      <c r="E104" s="1200"/>
      <c r="F104" s="993">
        <f>F103*$J$13/1000</f>
        <v>1.2386100000000002</v>
      </c>
      <c r="G104" s="994"/>
      <c r="H104" s="995"/>
      <c r="I104" s="993">
        <f>I103*$Q$13/1000</f>
        <v>0.22559670000000004</v>
      </c>
      <c r="J104" s="994"/>
      <c r="K104" s="995"/>
      <c r="L104" s="248" t="s">
        <v>422</v>
      </c>
      <c r="M104" s="243" t="s">
        <v>116</v>
      </c>
      <c r="N104" s="244">
        <v>1</v>
      </c>
      <c r="O104" s="247">
        <f>E103*N104</f>
        <v>8</v>
      </c>
      <c r="P104" s="240">
        <v>3.9449999999999998</v>
      </c>
      <c r="Q104" s="245">
        <f>N104*P104*$N$11</f>
        <v>4.5466247295000013</v>
      </c>
      <c r="R104" s="784">
        <f>SUM(Q104:Q104)</f>
        <v>4.5466247295000013</v>
      </c>
      <c r="S104" s="989"/>
      <c r="T104" s="989"/>
      <c r="U104" s="1019"/>
      <c r="V104" s="273">
        <f t="shared" si="4"/>
        <v>0</v>
      </c>
      <c r="W104" s="274">
        <f t="shared" si="5"/>
        <v>0</v>
      </c>
      <c r="X104" s="567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</row>
    <row r="105" spans="1:256" s="335" customFormat="1" ht="21" customHeight="1">
      <c r="A105" s="1005">
        <f t="shared" ref="A105" si="6">+A103+1</f>
        <v>29</v>
      </c>
      <c r="B105" s="1008" t="s">
        <v>427</v>
      </c>
      <c r="C105" s="1053" t="s">
        <v>524</v>
      </c>
      <c r="D105" s="1014" t="s">
        <v>116</v>
      </c>
      <c r="E105" s="1199">
        <v>1</v>
      </c>
      <c r="F105" s="993">
        <v>0.27</v>
      </c>
      <c r="G105" s="994"/>
      <c r="H105" s="995"/>
      <c r="I105" s="993">
        <v>0.17</v>
      </c>
      <c r="J105" s="994"/>
      <c r="K105" s="995"/>
      <c r="L105" s="267"/>
      <c r="M105" s="898"/>
      <c r="N105" s="797"/>
      <c r="O105" s="797"/>
      <c r="P105" s="268"/>
      <c r="Q105" s="801"/>
      <c r="R105" s="794">
        <f>F106+I106</f>
        <v>1.1788677000000001</v>
      </c>
      <c r="S105" s="987">
        <f>R105+R106</f>
        <v>4.8864701727000011</v>
      </c>
      <c r="T105" s="987">
        <f>E105*S105</f>
        <v>4.8864701727000011</v>
      </c>
      <c r="U105" s="1017">
        <f>E105*R106</f>
        <v>3.707602472700001</v>
      </c>
      <c r="V105" s="273">
        <f t="shared" si="4"/>
        <v>6.4889254033804393</v>
      </c>
      <c r="W105" s="274">
        <f t="shared" si="5"/>
        <v>6.4889254033804393</v>
      </c>
      <c r="X105" s="567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</row>
    <row r="106" spans="1:256" s="335" customFormat="1" ht="21" customHeight="1">
      <c r="A106" s="1007"/>
      <c r="B106" s="1010"/>
      <c r="C106" s="1054"/>
      <c r="D106" s="1016"/>
      <c r="E106" s="1200"/>
      <c r="F106" s="993">
        <f>F105*$J$13/1000</f>
        <v>0.63099000000000005</v>
      </c>
      <c r="G106" s="994"/>
      <c r="H106" s="995"/>
      <c r="I106" s="993">
        <f>I105*$Q$13/1000</f>
        <v>0.54787770000000002</v>
      </c>
      <c r="J106" s="994"/>
      <c r="K106" s="995"/>
      <c r="L106" s="248" t="s">
        <v>423</v>
      </c>
      <c r="M106" s="243" t="s">
        <v>116</v>
      </c>
      <c r="N106" s="244">
        <v>1</v>
      </c>
      <c r="O106" s="247">
        <f>E105*N106</f>
        <v>1</v>
      </c>
      <c r="P106" s="240">
        <v>3.2170000000000001</v>
      </c>
      <c r="Q106" s="245">
        <f>N106*P106*$N$11</f>
        <v>3.707602472700001</v>
      </c>
      <c r="R106" s="784">
        <f>SUM(Q106:Q106)</f>
        <v>3.707602472700001</v>
      </c>
      <c r="S106" s="989"/>
      <c r="T106" s="989"/>
      <c r="U106" s="1019"/>
      <c r="V106" s="273">
        <f t="shared" si="4"/>
        <v>0</v>
      </c>
      <c r="W106" s="274">
        <f t="shared" si="5"/>
        <v>0</v>
      </c>
      <c r="X106" s="567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</row>
    <row r="107" spans="1:256" s="156" customFormat="1" ht="21.75" customHeight="1">
      <c r="A107" s="1291">
        <f>+A105+1</f>
        <v>30</v>
      </c>
      <c r="B107" s="1008" t="s">
        <v>148</v>
      </c>
      <c r="C107" s="1011" t="s">
        <v>428</v>
      </c>
      <c r="D107" s="1014" t="s">
        <v>124</v>
      </c>
      <c r="E107" s="1199">
        <v>16</v>
      </c>
      <c r="F107" s="1293">
        <f>0.001*190</f>
        <v>0.19</v>
      </c>
      <c r="G107" s="1294"/>
      <c r="H107" s="1295"/>
      <c r="I107" s="1293">
        <f>0.001*162</f>
        <v>0.16200000000000001</v>
      </c>
      <c r="J107" s="1294"/>
      <c r="K107" s="1295"/>
      <c r="L107" s="779"/>
      <c r="M107" s="898"/>
      <c r="N107" s="797"/>
      <c r="O107" s="797"/>
      <c r="P107" s="797"/>
      <c r="Q107" s="786"/>
      <c r="R107" s="794">
        <f>F108+I108</f>
        <v>0.96612522000000012</v>
      </c>
      <c r="S107" s="987">
        <f>R107+R108</f>
        <v>2.3491289400000004</v>
      </c>
      <c r="T107" s="987">
        <f>E107*S107</f>
        <v>37.586063040000006</v>
      </c>
      <c r="U107" s="1112">
        <f>R108*E107</f>
        <v>22.128059520000004</v>
      </c>
      <c r="V107" s="273">
        <f t="shared" si="4"/>
        <v>3.1194956514304324</v>
      </c>
      <c r="W107" s="274">
        <f t="shared" si="5"/>
        <v>49.911930422886918</v>
      </c>
      <c r="X107" s="567"/>
      <c r="Y107" s="239"/>
      <c r="Z107" s="239"/>
    </row>
    <row r="108" spans="1:256" s="156" customFormat="1" ht="21.75" customHeight="1">
      <c r="A108" s="1292"/>
      <c r="B108" s="1010"/>
      <c r="C108" s="1013"/>
      <c r="D108" s="1016"/>
      <c r="E108" s="1200"/>
      <c r="F108" s="993">
        <f>F107*J$13/1000</f>
        <v>0.44403000000000004</v>
      </c>
      <c r="G108" s="994"/>
      <c r="H108" s="995"/>
      <c r="I108" s="993">
        <f>I107*$Q$13/1000</f>
        <v>0.52209522000000008</v>
      </c>
      <c r="J108" s="994"/>
      <c r="K108" s="995"/>
      <c r="L108" s="337" t="s">
        <v>149</v>
      </c>
      <c r="M108" s="243" t="s">
        <v>124</v>
      </c>
      <c r="N108" s="338">
        <v>1</v>
      </c>
      <c r="O108" s="247">
        <f>E107*N108</f>
        <v>16</v>
      </c>
      <c r="P108" s="240">
        <v>1.2</v>
      </c>
      <c r="Q108" s="245">
        <f>N108*P108*$N$11</f>
        <v>1.3830037200000003</v>
      </c>
      <c r="R108" s="794">
        <f>SUM(Q108:Q108)</f>
        <v>1.3830037200000003</v>
      </c>
      <c r="S108" s="989"/>
      <c r="T108" s="989"/>
      <c r="U108" s="1113"/>
      <c r="V108" s="273">
        <f t="shared" si="4"/>
        <v>0</v>
      </c>
      <c r="W108" s="274">
        <f t="shared" si="5"/>
        <v>0</v>
      </c>
      <c r="X108" s="567"/>
      <c r="Y108" s="239"/>
      <c r="Z108" s="239"/>
    </row>
    <row r="109" spans="1:256" s="747" customFormat="1" ht="12.75" customHeight="1">
      <c r="A109" s="1328">
        <f>+A107+1</f>
        <v>31</v>
      </c>
      <c r="B109" s="1329" t="s">
        <v>379</v>
      </c>
      <c r="C109" s="1330" t="s">
        <v>431</v>
      </c>
      <c r="D109" s="1298" t="s">
        <v>124</v>
      </c>
      <c r="E109" s="1332">
        <v>2</v>
      </c>
      <c r="F109" s="1335">
        <f>23.1/1000</f>
        <v>2.3100000000000002E-2</v>
      </c>
      <c r="G109" s="1336"/>
      <c r="H109" s="1337"/>
      <c r="I109" s="1335">
        <f>4.1/1000</f>
        <v>4.0999999999999995E-3</v>
      </c>
      <c r="J109" s="1336"/>
      <c r="K109" s="1337"/>
      <c r="L109" s="833"/>
      <c r="M109" s="834"/>
      <c r="N109" s="835"/>
      <c r="O109" s="835"/>
      <c r="P109" s="835"/>
      <c r="Q109" s="836"/>
      <c r="R109" s="837">
        <f>F110+I110</f>
        <v>6.7198221000000002E-2</v>
      </c>
      <c r="S109" s="1332">
        <f>R109+R110</f>
        <v>0.45697476942000009</v>
      </c>
      <c r="T109" s="1332">
        <f>E109*S109</f>
        <v>0.91394953884000019</v>
      </c>
      <c r="U109" s="1338">
        <f>+R110*E109</f>
        <v>0.77955309684000018</v>
      </c>
      <c r="V109" s="273">
        <f t="shared" si="4"/>
        <v>0.60683378495993268</v>
      </c>
      <c r="W109" s="274">
        <f t="shared" si="5"/>
        <v>1.2136675699198654</v>
      </c>
      <c r="X109" s="567"/>
      <c r="Y109" s="838"/>
      <c r="Z109" s="838"/>
      <c r="AA109" s="838"/>
      <c r="AB109" s="838"/>
      <c r="AC109" s="838"/>
      <c r="AD109" s="838"/>
      <c r="AE109" s="838"/>
      <c r="AF109" s="838"/>
      <c r="AG109" s="838"/>
      <c r="AH109" s="838"/>
      <c r="AI109" s="839"/>
      <c r="AJ109" s="840"/>
      <c r="AK109" s="746"/>
      <c r="AL109" s="746"/>
      <c r="AM109" s="746"/>
      <c r="AN109" s="746"/>
      <c r="AO109" s="746"/>
      <c r="AP109" s="746"/>
      <c r="AQ109" s="841"/>
      <c r="AR109" s="841"/>
      <c r="AS109" s="841"/>
      <c r="AT109" s="841"/>
      <c r="AU109" s="841"/>
      <c r="AV109" s="841"/>
      <c r="AW109" s="841"/>
      <c r="AX109" s="746"/>
    </row>
    <row r="110" spans="1:256" s="747" customFormat="1" ht="12.75" customHeight="1">
      <c r="A110" s="1328"/>
      <c r="B110" s="1329"/>
      <c r="C110" s="1330"/>
      <c r="D110" s="1331"/>
      <c r="E110" s="1333"/>
      <c r="F110" s="1341">
        <f>F109*J$13/1000</f>
        <v>5.3984700000000004E-2</v>
      </c>
      <c r="G110" s="1342"/>
      <c r="H110" s="1343"/>
      <c r="I110" s="1341">
        <f>I109*$Q$13/1000</f>
        <v>1.3213520999999999E-2</v>
      </c>
      <c r="J110" s="1342"/>
      <c r="K110" s="1343"/>
      <c r="L110" s="682" t="s">
        <v>398</v>
      </c>
      <c r="M110" s="683" t="s">
        <v>124</v>
      </c>
      <c r="N110" s="684">
        <v>1</v>
      </c>
      <c r="O110" s="685">
        <f>E109*N110</f>
        <v>2</v>
      </c>
      <c r="P110" s="686">
        <v>0.32300000000000001</v>
      </c>
      <c r="Q110" s="687">
        <f>N110*P110*$N$11</f>
        <v>0.3722585013000001</v>
      </c>
      <c r="R110" s="1332">
        <f>SUM(Q110:Q111)</f>
        <v>0.38977654842000009</v>
      </c>
      <c r="S110" s="1333"/>
      <c r="T110" s="1333"/>
      <c r="U110" s="1339"/>
      <c r="V110" s="273">
        <f t="shared" si="4"/>
        <v>0</v>
      </c>
      <c r="W110" s="274">
        <f t="shared" si="5"/>
        <v>0</v>
      </c>
      <c r="X110" s="567"/>
      <c r="Y110" s="838"/>
      <c r="Z110" s="838"/>
      <c r="AA110" s="838"/>
      <c r="AB110" s="838"/>
      <c r="AC110" s="838"/>
      <c r="AD110" s="838"/>
      <c r="AE110" s="838"/>
      <c r="AF110" s="838"/>
      <c r="AG110" s="838"/>
      <c r="AH110" s="838"/>
      <c r="AI110" s="839"/>
      <c r="AJ110" s="840"/>
      <c r="AK110" s="746"/>
      <c r="AL110" s="746"/>
      <c r="AM110" s="746"/>
      <c r="AN110" s="746"/>
      <c r="AO110" s="746"/>
      <c r="AP110" s="746"/>
      <c r="AQ110" s="841"/>
      <c r="AR110" s="841"/>
      <c r="AS110" s="841"/>
      <c r="AT110" s="841"/>
      <c r="AU110" s="841"/>
      <c r="AV110" s="841"/>
      <c r="AW110" s="841"/>
      <c r="AX110" s="746"/>
    </row>
    <row r="111" spans="1:256" s="747" customFormat="1" ht="12.75" customHeight="1">
      <c r="A111" s="1328"/>
      <c r="B111" s="1329"/>
      <c r="C111" s="1330"/>
      <c r="D111" s="1299"/>
      <c r="E111" s="1334"/>
      <c r="F111" s="1344"/>
      <c r="G111" s="1345"/>
      <c r="H111" s="1346"/>
      <c r="I111" s="1344"/>
      <c r="J111" s="1345"/>
      <c r="K111" s="1346"/>
      <c r="L111" s="842" t="s">
        <v>430</v>
      </c>
      <c r="M111" s="843" t="s">
        <v>124</v>
      </c>
      <c r="N111" s="844">
        <f>15.2/1000</f>
        <v>1.52E-2</v>
      </c>
      <c r="O111" s="844">
        <f>E109*N111</f>
        <v>3.04E-2</v>
      </c>
      <c r="P111" s="845">
        <v>1</v>
      </c>
      <c r="Q111" s="844">
        <f>N111*P111*$N$11</f>
        <v>1.7518047120000005E-2</v>
      </c>
      <c r="R111" s="1334"/>
      <c r="S111" s="1334"/>
      <c r="T111" s="1334"/>
      <c r="U111" s="1340"/>
      <c r="V111" s="273">
        <f t="shared" si="4"/>
        <v>0</v>
      </c>
      <c r="W111" s="274">
        <f t="shared" si="5"/>
        <v>0</v>
      </c>
      <c r="X111" s="567"/>
      <c r="Y111" s="838"/>
      <c r="Z111" s="838"/>
      <c r="AA111" s="838"/>
      <c r="AB111" s="838"/>
      <c r="AC111" s="838"/>
      <c r="AD111" s="838"/>
      <c r="AE111" s="838"/>
      <c r="AF111" s="838"/>
      <c r="AG111" s="838"/>
      <c r="AH111" s="838"/>
      <c r="AI111" s="846"/>
      <c r="AJ111" s="840"/>
      <c r="AK111" s="746"/>
      <c r="AL111" s="746"/>
      <c r="AM111" s="746"/>
      <c r="AN111" s="746"/>
      <c r="AO111" s="746"/>
      <c r="AP111" s="746"/>
      <c r="AQ111" s="841"/>
      <c r="AR111" s="841"/>
      <c r="AS111" s="841"/>
      <c r="AT111" s="841"/>
      <c r="AU111" s="841"/>
      <c r="AV111" s="841"/>
      <c r="AW111" s="841"/>
      <c r="AX111" s="746"/>
    </row>
    <row r="112" spans="1:256" s="711" customFormat="1" ht="12.75" customHeight="1">
      <c r="A112" s="1149">
        <f>+A109+1</f>
        <v>32</v>
      </c>
      <c r="B112" s="1217" t="s">
        <v>432</v>
      </c>
      <c r="C112" s="1218" t="s">
        <v>433</v>
      </c>
      <c r="D112" s="1014" t="s">
        <v>122</v>
      </c>
      <c r="E112" s="987">
        <v>1.2</v>
      </c>
      <c r="F112" s="1193">
        <f>4.1/100</f>
        <v>4.0999999999999995E-2</v>
      </c>
      <c r="G112" s="1194"/>
      <c r="H112" s="1195"/>
      <c r="I112" s="1193">
        <f>0.4/100</f>
        <v>4.0000000000000001E-3</v>
      </c>
      <c r="J112" s="1194"/>
      <c r="K112" s="1195"/>
      <c r="L112" s="417"/>
      <c r="M112" s="898"/>
      <c r="N112" s="705"/>
      <c r="O112" s="705"/>
      <c r="P112" s="705"/>
      <c r="Q112" s="706"/>
      <c r="R112" s="707">
        <f>F113+I113</f>
        <v>0.10870824</v>
      </c>
      <c r="S112" s="1219">
        <f>R112+R113</f>
        <v>0.20514286976000001</v>
      </c>
      <c r="T112" s="1219">
        <f>E112*S112</f>
        <v>0.246171443712</v>
      </c>
      <c r="U112" s="1222">
        <f>+R113*E112</f>
        <v>0.11572155571200003</v>
      </c>
      <c r="V112" s="273">
        <f t="shared" si="4"/>
        <v>0.27241684321435311</v>
      </c>
      <c r="W112" s="274">
        <f t="shared" si="5"/>
        <v>0.32690021185722373</v>
      </c>
      <c r="X112" s="567"/>
      <c r="Y112" s="847"/>
      <c r="Z112" s="209"/>
      <c r="AA112" s="847"/>
      <c r="AB112" s="209"/>
      <c r="AC112" s="209"/>
      <c r="AD112" s="209"/>
      <c r="AE112" s="667"/>
      <c r="AF112" s="667"/>
      <c r="AG112" s="667"/>
      <c r="AH112" s="667"/>
      <c r="AI112" s="667"/>
      <c r="AJ112" s="667"/>
      <c r="AK112" s="667"/>
      <c r="AL112" s="710"/>
    </row>
    <row r="113" spans="1:38" s="711" customFormat="1" ht="12.75" customHeight="1">
      <c r="A113" s="1149"/>
      <c r="B113" s="1217"/>
      <c r="C113" s="1218"/>
      <c r="D113" s="1015"/>
      <c r="E113" s="988"/>
      <c r="F113" s="1164">
        <f>F112*J$13/1000</f>
        <v>9.5816999999999999E-2</v>
      </c>
      <c r="G113" s="1165"/>
      <c r="H113" s="1166"/>
      <c r="I113" s="1164">
        <f>I112*$Q$13/1000</f>
        <v>1.289124E-2</v>
      </c>
      <c r="J113" s="1165"/>
      <c r="K113" s="1166"/>
      <c r="L113" s="806" t="s">
        <v>128</v>
      </c>
      <c r="M113" s="250" t="s">
        <v>124</v>
      </c>
      <c r="N113" s="712">
        <v>0.03</v>
      </c>
      <c r="O113" s="713">
        <f>E112*N113</f>
        <v>3.5999999999999997E-2</v>
      </c>
      <c r="P113" s="341">
        <f>0.542*2</f>
        <v>1.0840000000000001</v>
      </c>
      <c r="Q113" s="714">
        <f>N113*P113*$N$11</f>
        <v>3.7479400812000012E-2</v>
      </c>
      <c r="R113" s="1219">
        <f>SUM(Q113:Q114)</f>
        <v>9.6434629760000029E-2</v>
      </c>
      <c r="S113" s="1220"/>
      <c r="T113" s="1220"/>
      <c r="U113" s="1223"/>
      <c r="V113" s="273">
        <f t="shared" si="4"/>
        <v>0</v>
      </c>
      <c r="W113" s="274">
        <f t="shared" si="5"/>
        <v>0</v>
      </c>
      <c r="X113" s="567"/>
      <c r="Y113" s="847"/>
      <c r="Z113" s="209"/>
      <c r="AA113" s="847"/>
      <c r="AB113" s="209"/>
      <c r="AC113" s="209"/>
      <c r="AD113" s="209"/>
      <c r="AE113" s="667"/>
      <c r="AF113" s="667"/>
      <c r="AG113" s="667"/>
      <c r="AH113" s="667"/>
      <c r="AI113" s="667"/>
      <c r="AJ113" s="667"/>
      <c r="AK113" s="667"/>
      <c r="AL113" s="710"/>
    </row>
    <row r="114" spans="1:38" s="711" customFormat="1" ht="12.75" customHeight="1">
      <c r="A114" s="1149"/>
      <c r="B114" s="1217"/>
      <c r="C114" s="1218"/>
      <c r="D114" s="1016"/>
      <c r="E114" s="989"/>
      <c r="F114" s="1225"/>
      <c r="G114" s="1226"/>
      <c r="H114" s="1167"/>
      <c r="I114" s="1225"/>
      <c r="J114" s="1226"/>
      <c r="K114" s="1167"/>
      <c r="L114" s="807" t="s">
        <v>435</v>
      </c>
      <c r="M114" s="254" t="s">
        <v>124</v>
      </c>
      <c r="N114" s="715">
        <f>17.2/100</f>
        <v>0.17199999999999999</v>
      </c>
      <c r="O114" s="716">
        <f>E112*N114</f>
        <v>0.20639999999999997</v>
      </c>
      <c r="P114" s="355">
        <f>0.803/2.7</f>
        <v>0.2974074074074074</v>
      </c>
      <c r="Q114" s="717">
        <f>N114*P114*$N$11</f>
        <v>5.895522894800001E-2</v>
      </c>
      <c r="R114" s="1221"/>
      <c r="S114" s="1221"/>
      <c r="T114" s="1221"/>
      <c r="U114" s="1224"/>
      <c r="V114" s="273">
        <f t="shared" si="4"/>
        <v>0</v>
      </c>
      <c r="W114" s="274">
        <f t="shared" si="5"/>
        <v>0</v>
      </c>
      <c r="X114" s="567"/>
      <c r="Y114" s="848"/>
      <c r="Z114" s="209"/>
      <c r="AA114" s="848"/>
      <c r="AB114" s="209"/>
      <c r="AC114" s="209"/>
      <c r="AD114" s="209"/>
      <c r="AE114" s="667"/>
      <c r="AF114" s="667"/>
      <c r="AG114" s="667"/>
      <c r="AH114" s="667"/>
      <c r="AI114" s="667"/>
      <c r="AJ114" s="667"/>
      <c r="AK114" s="667"/>
      <c r="AL114" s="710"/>
    </row>
    <row r="115" spans="1:38" s="721" customFormat="1" ht="12.75" customHeight="1">
      <c r="A115" s="1133">
        <f>+A112+1</f>
        <v>33</v>
      </c>
      <c r="B115" s="1135" t="s">
        <v>362</v>
      </c>
      <c r="C115" s="1137" t="s">
        <v>363</v>
      </c>
      <c r="D115" s="1140" t="s">
        <v>122</v>
      </c>
      <c r="E115" s="1142">
        <f>+E112</f>
        <v>1.2</v>
      </c>
      <c r="F115" s="1148">
        <v>0.38400000000000001</v>
      </c>
      <c r="G115" s="1148"/>
      <c r="H115" s="1148"/>
      <c r="I115" s="1214">
        <f>0.03/100</f>
        <v>2.9999999999999997E-4</v>
      </c>
      <c r="J115" s="1215"/>
      <c r="K115" s="1216"/>
      <c r="L115" s="417"/>
      <c r="M115" s="898"/>
      <c r="N115" s="705"/>
      <c r="O115" s="705"/>
      <c r="P115" s="797"/>
      <c r="Q115" s="706"/>
      <c r="R115" s="790">
        <f>F116+I116</f>
        <v>0.89837484300000003</v>
      </c>
      <c r="S115" s="1020">
        <f>R115+R116</f>
        <v>1.2786904934721002</v>
      </c>
      <c r="T115" s="1020">
        <f>E115*S115</f>
        <v>1.5344285921665202</v>
      </c>
      <c r="U115" s="1144">
        <f>R116*E115</f>
        <v>0.45637878056652015</v>
      </c>
      <c r="V115" s="273">
        <f t="shared" si="4"/>
        <v>1.6980206433077485</v>
      </c>
      <c r="W115" s="274">
        <f t="shared" si="5"/>
        <v>2.0376247719692979</v>
      </c>
      <c r="X115" s="567"/>
      <c r="Y115" s="805"/>
      <c r="Z115" s="209"/>
      <c r="AA115" s="805"/>
      <c r="AB115" s="209"/>
      <c r="AC115" s="209"/>
      <c r="AD115" s="209"/>
      <c r="AE115" s="667"/>
      <c r="AF115" s="667"/>
      <c r="AG115" s="667"/>
      <c r="AH115" s="667"/>
      <c r="AI115" s="667"/>
      <c r="AJ115" s="667"/>
      <c r="AK115" s="667"/>
    </row>
    <row r="116" spans="1:38" s="721" customFormat="1" ht="12.75" customHeight="1">
      <c r="A116" s="1134"/>
      <c r="B116" s="1136"/>
      <c r="C116" s="1138"/>
      <c r="D116" s="1141"/>
      <c r="E116" s="1143"/>
      <c r="F116" s="1148">
        <f>F115*J$13/1000</f>
        <v>0.89740799999999998</v>
      </c>
      <c r="G116" s="1148"/>
      <c r="H116" s="1148"/>
      <c r="I116" s="1148">
        <f>I115*$Q$13/1000</f>
        <v>9.6684299999999989E-4</v>
      </c>
      <c r="J116" s="1148"/>
      <c r="K116" s="1148"/>
      <c r="L116" s="806" t="s">
        <v>130</v>
      </c>
      <c r="M116" s="250" t="s">
        <v>124</v>
      </c>
      <c r="N116" s="712">
        <v>0.246</v>
      </c>
      <c r="O116" s="713">
        <f>E115*N116</f>
        <v>0.29519999999999996</v>
      </c>
      <c r="P116" s="341">
        <v>1.25</v>
      </c>
      <c r="Q116" s="714">
        <f>N116*P116*$N$11</f>
        <v>0.35439470325000011</v>
      </c>
      <c r="R116" s="1020">
        <f>SUM(Q116:Q117)</f>
        <v>0.38031565047210014</v>
      </c>
      <c r="S116" s="1020"/>
      <c r="T116" s="1020"/>
      <c r="U116" s="1144"/>
      <c r="V116" s="273">
        <f t="shared" si="4"/>
        <v>0</v>
      </c>
      <c r="W116" s="274">
        <f t="shared" si="5"/>
        <v>0</v>
      </c>
      <c r="X116" s="567"/>
      <c r="Y116" s="805"/>
      <c r="Z116" s="209"/>
      <c r="AA116" s="568" t="s">
        <v>364</v>
      </c>
      <c r="AB116" s="209"/>
      <c r="AC116" s="209"/>
      <c r="AD116" s="209"/>
      <c r="AE116" s="667"/>
      <c r="AF116" s="667"/>
      <c r="AG116" s="667"/>
      <c r="AH116" s="667"/>
      <c r="AI116" s="667"/>
      <c r="AJ116" s="667"/>
      <c r="AK116" s="667"/>
    </row>
    <row r="117" spans="1:38" s="721" customFormat="1" ht="12.75" customHeight="1">
      <c r="A117" s="1134"/>
      <c r="B117" s="1136"/>
      <c r="C117" s="1139"/>
      <c r="D117" s="1141"/>
      <c r="E117" s="1143"/>
      <c r="F117" s="1148"/>
      <c r="G117" s="1148"/>
      <c r="H117" s="1148"/>
      <c r="I117" s="1148"/>
      <c r="J117" s="1148"/>
      <c r="K117" s="1148"/>
      <c r="L117" s="807" t="s">
        <v>365</v>
      </c>
      <c r="M117" s="254" t="s">
        <v>124</v>
      </c>
      <c r="N117" s="715">
        <v>2.7E-2</v>
      </c>
      <c r="O117" s="716">
        <f>E115*N117</f>
        <v>3.2399999999999998E-2</v>
      </c>
      <c r="P117" s="355">
        <v>0.83299999999999996</v>
      </c>
      <c r="Q117" s="717">
        <f>N117*P117*$N$11</f>
        <v>2.5920947222100005E-2</v>
      </c>
      <c r="R117" s="1020"/>
      <c r="S117" s="1020"/>
      <c r="T117" s="1020"/>
      <c r="U117" s="1144"/>
      <c r="V117" s="273">
        <f t="shared" si="4"/>
        <v>0</v>
      </c>
      <c r="W117" s="274">
        <f t="shared" si="5"/>
        <v>0</v>
      </c>
      <c r="X117" s="567"/>
      <c r="Y117" s="805"/>
      <c r="Z117" s="209"/>
      <c r="AA117" s="805"/>
      <c r="AB117" s="209"/>
      <c r="AC117" s="209"/>
      <c r="AD117" s="209"/>
      <c r="AE117" s="667"/>
      <c r="AF117" s="667"/>
      <c r="AG117" s="667"/>
      <c r="AH117" s="667"/>
      <c r="AI117" s="667"/>
      <c r="AJ117" s="667"/>
      <c r="AK117" s="667"/>
    </row>
    <row r="118" spans="1:38" s="405" customFormat="1" ht="12.75" customHeight="1">
      <c r="A118" s="1005">
        <f>+A115+1</f>
        <v>34</v>
      </c>
      <c r="B118" s="1008" t="s">
        <v>436</v>
      </c>
      <c r="C118" s="1011" t="s">
        <v>437</v>
      </c>
      <c r="D118" s="1014" t="s">
        <v>180</v>
      </c>
      <c r="E118" s="987">
        <v>0.02</v>
      </c>
      <c r="F118" s="990">
        <v>2.4500000000000002</v>
      </c>
      <c r="G118" s="991"/>
      <c r="H118" s="992"/>
      <c r="I118" s="993">
        <v>0.37</v>
      </c>
      <c r="J118" s="994"/>
      <c r="K118" s="995"/>
      <c r="L118" s="660"/>
      <c r="M118" s="898"/>
      <c r="N118" s="404"/>
      <c r="O118" s="797"/>
      <c r="P118" s="797"/>
      <c r="Q118" s="786"/>
      <c r="R118" s="794">
        <f>F119+I119</f>
        <v>6.9180897000000012</v>
      </c>
      <c r="S118" s="987">
        <f>R118+R119</f>
        <v>48.797037405890421</v>
      </c>
      <c r="T118" s="987">
        <f>E118*S118</f>
        <v>0.9759407481178084</v>
      </c>
      <c r="U118" s="1017">
        <f t="shared" ref="U118" si="7">E118*R119</f>
        <v>0.83757895411780836</v>
      </c>
      <c r="V118" s="273">
        <f t="shared" si="4"/>
        <v>64.799400066291497</v>
      </c>
      <c r="W118" s="274">
        <f t="shared" si="5"/>
        <v>1.29598800132583</v>
      </c>
      <c r="X118" s="567"/>
    </row>
    <row r="119" spans="1:38" s="405" customFormat="1" ht="12.75">
      <c r="A119" s="1006"/>
      <c r="B119" s="1009"/>
      <c r="C119" s="1012"/>
      <c r="D119" s="1015"/>
      <c r="E119" s="988"/>
      <c r="F119" s="1020">
        <f>F118*J$13/1000</f>
        <v>5.7256500000000008</v>
      </c>
      <c r="G119" s="1020"/>
      <c r="H119" s="1020"/>
      <c r="I119" s="1020">
        <f>I118*$Q$13/1000</f>
        <v>1.1924397</v>
      </c>
      <c r="J119" s="1020"/>
      <c r="K119" s="1020"/>
      <c r="L119" s="249" t="s">
        <v>183</v>
      </c>
      <c r="M119" s="250" t="s">
        <v>184</v>
      </c>
      <c r="N119" s="406">
        <v>1.02</v>
      </c>
      <c r="O119" s="252">
        <f>E118*N119</f>
        <v>2.0400000000000001E-2</v>
      </c>
      <c r="P119" s="237">
        <v>28.132999999999999</v>
      </c>
      <c r="Q119" s="253">
        <f>N119*P119*$N$11</f>
        <v>33.071837106546013</v>
      </c>
      <c r="R119" s="987">
        <f>SUM(Q119:Q121)</f>
        <v>41.878947705890418</v>
      </c>
      <c r="S119" s="988"/>
      <c r="T119" s="988"/>
      <c r="U119" s="1018"/>
      <c r="V119" s="273">
        <f t="shared" si="4"/>
        <v>0</v>
      </c>
      <c r="W119" s="274">
        <f t="shared" si="5"/>
        <v>0</v>
      </c>
      <c r="X119" s="567"/>
    </row>
    <row r="120" spans="1:38" s="405" customFormat="1" ht="12.75">
      <c r="A120" s="1006"/>
      <c r="B120" s="1009"/>
      <c r="C120" s="1012"/>
      <c r="D120" s="1015"/>
      <c r="E120" s="988"/>
      <c r="F120" s="1020"/>
      <c r="G120" s="1020"/>
      <c r="H120" s="1020"/>
      <c r="I120" s="1020"/>
      <c r="J120" s="1020"/>
      <c r="K120" s="1020"/>
      <c r="L120" s="259" t="s">
        <v>185</v>
      </c>
      <c r="M120" s="260" t="s">
        <v>186</v>
      </c>
      <c r="N120" s="407">
        <v>1.61</v>
      </c>
      <c r="O120" s="261">
        <f>E118*N120</f>
        <v>3.2199999999999999E-2</v>
      </c>
      <c r="P120" s="237">
        <v>3.5</v>
      </c>
      <c r="Q120" s="412">
        <f>N120*P120*$N$11</f>
        <v>6.4943549685000024</v>
      </c>
      <c r="R120" s="988"/>
      <c r="S120" s="988"/>
      <c r="T120" s="988"/>
      <c r="U120" s="1018"/>
      <c r="V120" s="273">
        <f t="shared" si="4"/>
        <v>0</v>
      </c>
      <c r="W120" s="274">
        <f t="shared" si="5"/>
        <v>0</v>
      </c>
      <c r="X120" s="567"/>
    </row>
    <row r="121" spans="1:38" s="405" customFormat="1" ht="13.5" customHeight="1">
      <c r="A121" s="1007"/>
      <c r="B121" s="1010"/>
      <c r="C121" s="1013"/>
      <c r="D121" s="1016"/>
      <c r="E121" s="989"/>
      <c r="F121" s="1020"/>
      <c r="G121" s="1020"/>
      <c r="H121" s="1020"/>
      <c r="I121" s="1020"/>
      <c r="J121" s="1020"/>
      <c r="K121" s="1020"/>
      <c r="L121" s="263" t="s">
        <v>187</v>
      </c>
      <c r="M121" s="254" t="s">
        <v>184</v>
      </c>
      <c r="N121" s="408">
        <v>1.72E-2</v>
      </c>
      <c r="O121" s="256">
        <f>E118*N121</f>
        <v>3.4400000000000001E-4</v>
      </c>
      <c r="P121" s="411">
        <v>116.67</v>
      </c>
      <c r="Q121" s="258">
        <f>N121*P121*$N$11</f>
        <v>2.3127556308444008</v>
      </c>
      <c r="R121" s="989"/>
      <c r="S121" s="989"/>
      <c r="T121" s="989"/>
      <c r="U121" s="1019"/>
      <c r="V121" s="273">
        <f t="shared" si="4"/>
        <v>0</v>
      </c>
      <c r="W121" s="274">
        <f t="shared" si="5"/>
        <v>0</v>
      </c>
      <c r="X121" s="567"/>
    </row>
    <row r="122" spans="1:38" s="156" customFormat="1" ht="14.25" customHeight="1">
      <c r="A122" s="1005">
        <f>+A118+1</f>
        <v>35</v>
      </c>
      <c r="B122" s="1008" t="s">
        <v>261</v>
      </c>
      <c r="C122" s="1011" t="s">
        <v>367</v>
      </c>
      <c r="D122" s="1014" t="s">
        <v>124</v>
      </c>
      <c r="E122" s="1267">
        <v>7</v>
      </c>
      <c r="F122" s="1193">
        <v>0.124</v>
      </c>
      <c r="G122" s="1194"/>
      <c r="H122" s="1195"/>
      <c r="I122" s="1201">
        <f>1.4/1000</f>
        <v>1.4E-3</v>
      </c>
      <c r="J122" s="1202"/>
      <c r="K122" s="1203"/>
      <c r="L122" s="339"/>
      <c r="M122" s="898"/>
      <c r="N122" s="797"/>
      <c r="O122" s="785"/>
      <c r="P122" s="797"/>
      <c r="Q122" s="786"/>
      <c r="R122" s="794">
        <f>F123+I123</f>
        <v>0.29429993399999999</v>
      </c>
      <c r="S122" s="987">
        <f>R122+R123</f>
        <v>0.81292632900000017</v>
      </c>
      <c r="T122" s="987">
        <f>E122*S122</f>
        <v>5.6904843030000016</v>
      </c>
      <c r="U122" s="1112">
        <f>R123*E122</f>
        <v>3.6303847650000014</v>
      </c>
      <c r="V122" s="273">
        <f t="shared" si="4"/>
        <v>1.0795150939006375</v>
      </c>
      <c r="W122" s="274">
        <f t="shared" si="5"/>
        <v>7.5566056573044627</v>
      </c>
      <c r="X122" s="567"/>
      <c r="Y122" s="239"/>
    </row>
    <row r="123" spans="1:38" s="156" customFormat="1" ht="13.5" customHeight="1">
      <c r="A123" s="1007"/>
      <c r="B123" s="1010"/>
      <c r="C123" s="1013"/>
      <c r="D123" s="1016"/>
      <c r="E123" s="1269"/>
      <c r="F123" s="993">
        <f>F122*J$13/1000</f>
        <v>0.28978799999999999</v>
      </c>
      <c r="G123" s="994"/>
      <c r="H123" s="995"/>
      <c r="I123" s="1193">
        <f>I122*$Q$13/1000</f>
        <v>4.5119340000000004E-3</v>
      </c>
      <c r="J123" s="1194"/>
      <c r="K123" s="1195"/>
      <c r="L123" s="246" t="s">
        <v>347</v>
      </c>
      <c r="M123" s="243" t="s">
        <v>124</v>
      </c>
      <c r="N123" s="338">
        <v>1</v>
      </c>
      <c r="O123" s="244">
        <f>E122*N123</f>
        <v>7</v>
      </c>
      <c r="P123" s="243">
        <v>0.45</v>
      </c>
      <c r="Q123" s="245">
        <f>N123*P123*$N$11</f>
        <v>0.51862639500000018</v>
      </c>
      <c r="R123" s="784">
        <f>SUM(Q123:Q123)</f>
        <v>0.51862639500000018</v>
      </c>
      <c r="S123" s="989"/>
      <c r="T123" s="989"/>
      <c r="U123" s="1113"/>
      <c r="V123" s="273">
        <f t="shared" si="4"/>
        <v>0</v>
      </c>
      <c r="W123" s="274">
        <f t="shared" si="5"/>
        <v>0</v>
      </c>
      <c r="X123" s="567"/>
      <c r="Y123" s="239"/>
    </row>
    <row r="124" spans="1:38" s="711" customFormat="1" ht="12.75" customHeight="1">
      <c r="A124" s="1149">
        <f>+A122+1</f>
        <v>36</v>
      </c>
      <c r="B124" s="1217" t="s">
        <v>432</v>
      </c>
      <c r="C124" s="1218" t="s">
        <v>433</v>
      </c>
      <c r="D124" s="1014" t="s">
        <v>122</v>
      </c>
      <c r="E124" s="987">
        <v>4</v>
      </c>
      <c r="F124" s="1193">
        <f>4.1/100</f>
        <v>4.0999999999999995E-2</v>
      </c>
      <c r="G124" s="1194"/>
      <c r="H124" s="1195"/>
      <c r="I124" s="1193">
        <f>0.4/100</f>
        <v>4.0000000000000001E-3</v>
      </c>
      <c r="J124" s="1194"/>
      <c r="K124" s="1195"/>
      <c r="L124" s="417"/>
      <c r="M124" s="898"/>
      <c r="N124" s="705"/>
      <c r="O124" s="705"/>
      <c r="P124" s="705"/>
      <c r="Q124" s="706"/>
      <c r="R124" s="707">
        <f>F125+I125</f>
        <v>0.10870824</v>
      </c>
      <c r="S124" s="1219">
        <f>R124+R125</f>
        <v>0.20514286976000001</v>
      </c>
      <c r="T124" s="1219">
        <f>E124*S124</f>
        <v>0.82057147904000005</v>
      </c>
      <c r="U124" s="1222">
        <f>+R125*E124</f>
        <v>0.38573851904000012</v>
      </c>
      <c r="V124" s="273">
        <f t="shared" si="4"/>
        <v>0.27241684321435311</v>
      </c>
      <c r="W124" s="274">
        <f t="shared" si="5"/>
        <v>1.0896673728574124</v>
      </c>
      <c r="X124" s="567"/>
      <c r="Y124" s="847"/>
      <c r="Z124" s="209"/>
      <c r="AA124" s="847"/>
      <c r="AB124" s="209"/>
      <c r="AC124" s="209"/>
      <c r="AD124" s="209"/>
      <c r="AE124" s="667"/>
      <c r="AF124" s="667"/>
      <c r="AG124" s="667"/>
      <c r="AH124" s="667"/>
      <c r="AI124" s="667"/>
      <c r="AJ124" s="667"/>
      <c r="AK124" s="667"/>
      <c r="AL124" s="710"/>
    </row>
    <row r="125" spans="1:38" s="711" customFormat="1" ht="12.75" customHeight="1">
      <c r="A125" s="1149"/>
      <c r="B125" s="1217"/>
      <c r="C125" s="1218"/>
      <c r="D125" s="1015"/>
      <c r="E125" s="988"/>
      <c r="F125" s="1164">
        <f>F124*J$13/1000</f>
        <v>9.5816999999999999E-2</v>
      </c>
      <c r="G125" s="1165"/>
      <c r="H125" s="1166"/>
      <c r="I125" s="1164">
        <f>I124*$Q$13/1000</f>
        <v>1.289124E-2</v>
      </c>
      <c r="J125" s="1165"/>
      <c r="K125" s="1166"/>
      <c r="L125" s="806" t="s">
        <v>128</v>
      </c>
      <c r="M125" s="250" t="s">
        <v>124</v>
      </c>
      <c r="N125" s="712">
        <v>0.03</v>
      </c>
      <c r="O125" s="713">
        <f>E124*N125</f>
        <v>0.12</v>
      </c>
      <c r="P125" s="341">
        <f>0.542*2</f>
        <v>1.0840000000000001</v>
      </c>
      <c r="Q125" s="714">
        <f>N125*P125*$N$11</f>
        <v>3.7479400812000012E-2</v>
      </c>
      <c r="R125" s="1219">
        <f>SUM(Q125:Q126)</f>
        <v>9.6434629760000029E-2</v>
      </c>
      <c r="S125" s="1220"/>
      <c r="T125" s="1220"/>
      <c r="U125" s="1223"/>
      <c r="V125" s="273">
        <f t="shared" si="4"/>
        <v>0</v>
      </c>
      <c r="W125" s="274">
        <f t="shared" si="5"/>
        <v>0</v>
      </c>
      <c r="X125" s="567"/>
      <c r="Y125" s="847"/>
      <c r="Z125" s="209"/>
      <c r="AA125" s="847"/>
      <c r="AB125" s="209"/>
      <c r="AC125" s="209"/>
      <c r="AD125" s="209"/>
      <c r="AE125" s="667"/>
      <c r="AF125" s="667"/>
      <c r="AG125" s="667"/>
      <c r="AH125" s="667"/>
      <c r="AI125" s="667"/>
      <c r="AJ125" s="667"/>
      <c r="AK125" s="667"/>
      <c r="AL125" s="710"/>
    </row>
    <row r="126" spans="1:38" s="711" customFormat="1" ht="12.75" customHeight="1">
      <c r="A126" s="1149"/>
      <c r="B126" s="1217"/>
      <c r="C126" s="1218"/>
      <c r="D126" s="1016"/>
      <c r="E126" s="989"/>
      <c r="F126" s="1225"/>
      <c r="G126" s="1226"/>
      <c r="H126" s="1167"/>
      <c r="I126" s="1225"/>
      <c r="J126" s="1226"/>
      <c r="K126" s="1167"/>
      <c r="L126" s="807" t="s">
        <v>435</v>
      </c>
      <c r="M126" s="254" t="s">
        <v>124</v>
      </c>
      <c r="N126" s="715">
        <f>17.2/100</f>
        <v>0.17199999999999999</v>
      </c>
      <c r="O126" s="716">
        <f>E124*N126</f>
        <v>0.68799999999999994</v>
      </c>
      <c r="P126" s="355">
        <f>0.803/2.7</f>
        <v>0.2974074074074074</v>
      </c>
      <c r="Q126" s="717">
        <f>N126*P126*$N$11</f>
        <v>5.895522894800001E-2</v>
      </c>
      <c r="R126" s="1221"/>
      <c r="S126" s="1221"/>
      <c r="T126" s="1221"/>
      <c r="U126" s="1224"/>
      <c r="V126" s="273">
        <f t="shared" si="4"/>
        <v>0</v>
      </c>
      <c r="W126" s="274">
        <f t="shared" si="5"/>
        <v>0</v>
      </c>
      <c r="X126" s="567"/>
      <c r="Y126" s="848"/>
      <c r="Z126" s="209"/>
      <c r="AA126" s="848"/>
      <c r="AB126" s="209"/>
      <c r="AC126" s="209"/>
      <c r="AD126" s="209"/>
      <c r="AE126" s="667"/>
      <c r="AF126" s="667"/>
      <c r="AG126" s="667"/>
      <c r="AH126" s="667"/>
      <c r="AI126" s="667"/>
      <c r="AJ126" s="667"/>
      <c r="AK126" s="667"/>
      <c r="AL126" s="710"/>
    </row>
    <row r="127" spans="1:38" s="721" customFormat="1" ht="12.75" customHeight="1">
      <c r="A127" s="1133">
        <f>+A124+1</f>
        <v>37</v>
      </c>
      <c r="B127" s="1135" t="s">
        <v>362</v>
      </c>
      <c r="C127" s="1137" t="s">
        <v>363</v>
      </c>
      <c r="D127" s="1140" t="s">
        <v>122</v>
      </c>
      <c r="E127" s="1142">
        <f>+E124</f>
        <v>4</v>
      </c>
      <c r="F127" s="1148">
        <v>0.38400000000000001</v>
      </c>
      <c r="G127" s="1148"/>
      <c r="H127" s="1148"/>
      <c r="I127" s="1214">
        <f>0.03/100</f>
        <v>2.9999999999999997E-4</v>
      </c>
      <c r="J127" s="1215"/>
      <c r="K127" s="1216"/>
      <c r="L127" s="417"/>
      <c r="M127" s="898"/>
      <c r="N127" s="705"/>
      <c r="O127" s="705"/>
      <c r="P127" s="797"/>
      <c r="Q127" s="706"/>
      <c r="R127" s="790">
        <f>F128+I128</f>
        <v>0.89837484300000003</v>
      </c>
      <c r="S127" s="1020">
        <f>R127+R128</f>
        <v>1.2786904934721002</v>
      </c>
      <c r="T127" s="1020">
        <f>E127*S127</f>
        <v>5.1147619738884007</v>
      </c>
      <c r="U127" s="1144">
        <f>R128*E127</f>
        <v>1.5212626018884006</v>
      </c>
      <c r="V127" s="273">
        <f t="shared" si="4"/>
        <v>1.6980206433077485</v>
      </c>
      <c r="W127" s="274">
        <f t="shared" si="5"/>
        <v>6.792082573230994</v>
      </c>
      <c r="X127" s="567"/>
      <c r="Y127" s="805"/>
      <c r="Z127" s="209"/>
      <c r="AA127" s="805"/>
      <c r="AB127" s="209"/>
      <c r="AC127" s="209"/>
      <c r="AD127" s="209"/>
      <c r="AE127" s="667"/>
      <c r="AF127" s="667"/>
      <c r="AG127" s="667"/>
      <c r="AH127" s="667"/>
      <c r="AI127" s="667"/>
      <c r="AJ127" s="667"/>
      <c r="AK127" s="667"/>
    </row>
    <row r="128" spans="1:38" s="721" customFormat="1" ht="12.75" customHeight="1">
      <c r="A128" s="1134"/>
      <c r="B128" s="1136"/>
      <c r="C128" s="1138"/>
      <c r="D128" s="1141"/>
      <c r="E128" s="1143"/>
      <c r="F128" s="1148">
        <f>F127*J$13/1000</f>
        <v>0.89740799999999998</v>
      </c>
      <c r="G128" s="1148"/>
      <c r="H128" s="1148"/>
      <c r="I128" s="1148">
        <f>I127*$Q$13/1000</f>
        <v>9.6684299999999989E-4</v>
      </c>
      <c r="J128" s="1148"/>
      <c r="K128" s="1148"/>
      <c r="L128" s="806" t="s">
        <v>130</v>
      </c>
      <c r="M128" s="250" t="s">
        <v>124</v>
      </c>
      <c r="N128" s="712">
        <v>0.246</v>
      </c>
      <c r="O128" s="713">
        <f>E127*N128</f>
        <v>0.98399999999999999</v>
      </c>
      <c r="P128" s="341">
        <v>1.25</v>
      </c>
      <c r="Q128" s="714">
        <f>N128*P128*$N$11</f>
        <v>0.35439470325000011</v>
      </c>
      <c r="R128" s="1020">
        <f>SUM(Q128:Q129)</f>
        <v>0.38031565047210014</v>
      </c>
      <c r="S128" s="1020"/>
      <c r="T128" s="1020"/>
      <c r="U128" s="1144"/>
      <c r="V128" s="273">
        <f t="shared" si="4"/>
        <v>0</v>
      </c>
      <c r="W128" s="274">
        <f t="shared" si="5"/>
        <v>0</v>
      </c>
      <c r="X128" s="567"/>
      <c r="Y128" s="805"/>
      <c r="Z128" s="209"/>
      <c r="AA128" s="568" t="s">
        <v>364</v>
      </c>
      <c r="AB128" s="209"/>
      <c r="AC128" s="209"/>
      <c r="AD128" s="209"/>
      <c r="AE128" s="667"/>
      <c r="AF128" s="667"/>
      <c r="AG128" s="667"/>
      <c r="AH128" s="667"/>
      <c r="AI128" s="667"/>
      <c r="AJ128" s="667"/>
      <c r="AK128" s="667"/>
    </row>
    <row r="129" spans="1:256" s="721" customFormat="1" ht="12.75" customHeight="1">
      <c r="A129" s="1210"/>
      <c r="B129" s="1211"/>
      <c r="C129" s="1139"/>
      <c r="D129" s="1212"/>
      <c r="E129" s="1213"/>
      <c r="F129" s="1148"/>
      <c r="G129" s="1148"/>
      <c r="H129" s="1148"/>
      <c r="I129" s="1148"/>
      <c r="J129" s="1148"/>
      <c r="K129" s="1148"/>
      <c r="L129" s="807" t="s">
        <v>365</v>
      </c>
      <c r="M129" s="254" t="s">
        <v>124</v>
      </c>
      <c r="N129" s="715">
        <v>2.7E-2</v>
      </c>
      <c r="O129" s="716">
        <f>E127*N129</f>
        <v>0.108</v>
      </c>
      <c r="P129" s="355">
        <v>0.83299999999999996</v>
      </c>
      <c r="Q129" s="717">
        <f>N129*P129*$N$11</f>
        <v>2.5920947222100005E-2</v>
      </c>
      <c r="R129" s="1020"/>
      <c r="S129" s="1020"/>
      <c r="T129" s="1020"/>
      <c r="U129" s="1144"/>
      <c r="V129" s="273">
        <f t="shared" si="4"/>
        <v>0</v>
      </c>
      <c r="W129" s="274">
        <f t="shared" si="5"/>
        <v>0</v>
      </c>
      <c r="X129" s="567"/>
      <c r="Y129" s="805"/>
      <c r="Z129" s="209"/>
      <c r="AA129" s="805"/>
      <c r="AB129" s="209"/>
      <c r="AC129" s="209"/>
      <c r="AD129" s="209"/>
      <c r="AE129" s="667"/>
      <c r="AF129" s="667"/>
      <c r="AG129" s="667"/>
      <c r="AH129" s="667"/>
      <c r="AI129" s="667"/>
      <c r="AJ129" s="667"/>
      <c r="AK129" s="667"/>
    </row>
    <row r="130" spans="1:256" s="564" customFormat="1" ht="14.25" customHeight="1">
      <c r="B130" s="771"/>
      <c r="C130" s="831" t="s">
        <v>438</v>
      </c>
      <c r="D130" s="664"/>
      <c r="E130" s="664"/>
      <c r="F130" s="778"/>
      <c r="G130" s="665"/>
      <c r="H130" s="665"/>
      <c r="I130" s="665"/>
      <c r="J130" s="665"/>
      <c r="K130" s="665"/>
      <c r="L130" s="671"/>
      <c r="M130" s="665"/>
      <c r="N130" s="665"/>
      <c r="O130" s="665"/>
      <c r="P130" s="665"/>
      <c r="Q130" s="665"/>
      <c r="R130" s="665"/>
      <c r="S130" s="665"/>
      <c r="T130" s="672"/>
      <c r="U130" s="665"/>
      <c r="V130" s="273">
        <f t="shared" si="4"/>
        <v>0</v>
      </c>
      <c r="W130" s="274">
        <f t="shared" si="5"/>
        <v>0</v>
      </c>
      <c r="X130" s="567"/>
      <c r="Y130" s="666"/>
      <c r="Z130" s="666"/>
      <c r="AA130" s="666"/>
      <c r="AB130" s="666"/>
      <c r="AC130" s="666"/>
      <c r="AD130" s="666"/>
      <c r="AE130" s="666"/>
      <c r="AF130" s="666"/>
      <c r="AG130" s="666"/>
      <c r="AH130" s="666"/>
      <c r="AI130" s="666"/>
      <c r="AJ130" s="666"/>
      <c r="AK130" s="666"/>
      <c r="AL130" s="563"/>
      <c r="AM130" s="563"/>
      <c r="AN130" s="563"/>
      <c r="AO130" s="563"/>
      <c r="AP130" s="563"/>
      <c r="AQ130" s="563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  <c r="IR130" s="563"/>
      <c r="IS130" s="563"/>
      <c r="IT130" s="563"/>
      <c r="IU130" s="563"/>
      <c r="IV130" s="563"/>
    </row>
    <row r="131" spans="1:256" s="242" customFormat="1" ht="15" customHeight="1">
      <c r="A131" s="1095">
        <f>+A127+1</f>
        <v>38</v>
      </c>
      <c r="B131" s="1097" t="s">
        <v>339</v>
      </c>
      <c r="C131" s="1099" t="s">
        <v>439</v>
      </c>
      <c r="D131" s="1101" t="s">
        <v>180</v>
      </c>
      <c r="E131" s="1101">
        <v>8</v>
      </c>
      <c r="F131" s="1052"/>
      <c r="G131" s="1052"/>
      <c r="H131" s="1052"/>
      <c r="I131" s="1052"/>
      <c r="J131" s="1052"/>
      <c r="K131" s="1052"/>
      <c r="L131" s="387"/>
      <c r="M131" s="661"/>
      <c r="N131" s="661"/>
      <c r="O131" s="661"/>
      <c r="P131" s="662"/>
      <c r="Q131" s="389"/>
      <c r="R131" s="1044">
        <f>F132+I132</f>
        <v>7.15</v>
      </c>
      <c r="S131" s="1044">
        <f>R131+R132</f>
        <v>7.15</v>
      </c>
      <c r="T131" s="1044">
        <f>E131*S131</f>
        <v>57.2</v>
      </c>
      <c r="U131" s="1105"/>
      <c r="V131" s="273">
        <f t="shared" si="4"/>
        <v>9.4947508107952512</v>
      </c>
      <c r="W131" s="274">
        <f t="shared" si="5"/>
        <v>75.958006486362009</v>
      </c>
      <c r="X131" s="567"/>
    </row>
    <row r="132" spans="1:256" s="242" customFormat="1" ht="25.5" customHeight="1">
      <c r="A132" s="1096"/>
      <c r="B132" s="1098"/>
      <c r="C132" s="1100"/>
      <c r="D132" s="1102"/>
      <c r="E132" s="1102"/>
      <c r="F132" s="1052">
        <f>F131*$J$13/1000</f>
        <v>0</v>
      </c>
      <c r="G132" s="1052"/>
      <c r="H132" s="1052"/>
      <c r="I132" s="1052">
        <v>7.15</v>
      </c>
      <c r="J132" s="1052"/>
      <c r="K132" s="1052"/>
      <c r="L132" s="390"/>
      <c r="M132" s="509"/>
      <c r="N132" s="509"/>
      <c r="O132" s="509"/>
      <c r="P132" s="391"/>
      <c r="Q132" s="392"/>
      <c r="R132" s="1045"/>
      <c r="S132" s="1045"/>
      <c r="T132" s="1045"/>
      <c r="U132" s="1106"/>
      <c r="V132" s="273">
        <f t="shared" si="4"/>
        <v>0</v>
      </c>
      <c r="W132" s="274">
        <f t="shared" si="5"/>
        <v>0</v>
      </c>
      <c r="X132" s="567"/>
    </row>
    <row r="133" spans="1:256" s="242" customFormat="1" ht="12.75" customHeight="1">
      <c r="A133" s="1095">
        <f>+A131+1</f>
        <v>39</v>
      </c>
      <c r="B133" s="1097" t="s">
        <v>343</v>
      </c>
      <c r="C133" s="1099" t="s">
        <v>441</v>
      </c>
      <c r="D133" s="1101" t="s">
        <v>180</v>
      </c>
      <c r="E133" s="1101">
        <v>8</v>
      </c>
      <c r="F133" s="1052">
        <f>0.001*16.8</f>
        <v>1.6800000000000002E-2</v>
      </c>
      <c r="G133" s="1052"/>
      <c r="H133" s="1052"/>
      <c r="I133" s="1052">
        <f>0.001*355.2</f>
        <v>0.35520000000000002</v>
      </c>
      <c r="J133" s="1052"/>
      <c r="K133" s="1052"/>
      <c r="L133" s="387"/>
      <c r="M133" s="661"/>
      <c r="N133" s="661"/>
      <c r="O133" s="661"/>
      <c r="P133" s="662"/>
      <c r="Q133" s="389"/>
      <c r="R133" s="1044">
        <f>F134+I134</f>
        <v>1.184003712</v>
      </c>
      <c r="S133" s="1044">
        <f>R133+R134</f>
        <v>1.184003712</v>
      </c>
      <c r="T133" s="1044">
        <f>E133*S133</f>
        <v>9.4720296959999999</v>
      </c>
      <c r="U133" s="1105"/>
      <c r="V133" s="273">
        <f t="shared" si="4"/>
        <v>1.5722825460834386</v>
      </c>
      <c r="W133" s="274">
        <f t="shared" si="5"/>
        <v>12.578260368667509</v>
      </c>
      <c r="X133" s="567"/>
    </row>
    <row r="134" spans="1:256" s="242" customFormat="1" ht="12.75" customHeight="1">
      <c r="A134" s="1096"/>
      <c r="B134" s="1098"/>
      <c r="C134" s="1100"/>
      <c r="D134" s="1102"/>
      <c r="E134" s="1103"/>
      <c r="F134" s="1052">
        <f>F133*$J$13/1000</f>
        <v>3.9261600000000008E-2</v>
      </c>
      <c r="G134" s="1052"/>
      <c r="H134" s="1052"/>
      <c r="I134" s="1052">
        <f>I133*$Q$13/1000</f>
        <v>1.1447421120000001</v>
      </c>
      <c r="J134" s="1052"/>
      <c r="K134" s="1052"/>
      <c r="L134" s="390"/>
      <c r="M134" s="509"/>
      <c r="N134" s="509"/>
      <c r="O134" s="509"/>
      <c r="P134" s="391"/>
      <c r="Q134" s="392"/>
      <c r="R134" s="1104"/>
      <c r="S134" s="1045"/>
      <c r="T134" s="1045"/>
      <c r="U134" s="1106"/>
      <c r="V134" s="273">
        <f t="shared" si="4"/>
        <v>0</v>
      </c>
      <c r="W134" s="274">
        <f t="shared" si="5"/>
        <v>0</v>
      </c>
      <c r="X134" s="567"/>
    </row>
    <row r="135" spans="1:256" s="242" customFormat="1" ht="12.75" customHeight="1">
      <c r="A135" s="1095">
        <f>+A133+1</f>
        <v>40</v>
      </c>
      <c r="B135" s="1097" t="s">
        <v>327</v>
      </c>
      <c r="C135" s="1108" t="s">
        <v>337</v>
      </c>
      <c r="D135" s="1101" t="s">
        <v>180</v>
      </c>
      <c r="E135" s="1101">
        <v>14</v>
      </c>
      <c r="F135" s="1052">
        <f>0.001*10.6</f>
        <v>1.06E-2</v>
      </c>
      <c r="G135" s="1052"/>
      <c r="H135" s="1052"/>
      <c r="I135" s="1052">
        <f>0.001*224.4</f>
        <v>0.22440000000000002</v>
      </c>
      <c r="J135" s="1052"/>
      <c r="K135" s="1052"/>
      <c r="L135" s="387"/>
      <c r="M135" s="661"/>
      <c r="N135" s="661"/>
      <c r="O135" s="661"/>
      <c r="P135" s="662"/>
      <c r="Q135" s="389"/>
      <c r="R135" s="1044">
        <f>F136+I136</f>
        <v>0.74797076400000007</v>
      </c>
      <c r="S135" s="1044">
        <f>R135+R136</f>
        <v>0.74797076400000007</v>
      </c>
      <c r="T135" s="1044">
        <f>E135*S135</f>
        <v>10.471590696000002</v>
      </c>
      <c r="U135" s="1105"/>
      <c r="V135" s="273">
        <f t="shared" si="4"/>
        <v>0.99325818432729285</v>
      </c>
      <c r="W135" s="274">
        <f t="shared" si="5"/>
        <v>13.9056145805821</v>
      </c>
      <c r="X135" s="567"/>
    </row>
    <row r="136" spans="1:256" s="242" customFormat="1" ht="12.75" customHeight="1">
      <c r="A136" s="1096"/>
      <c r="B136" s="1098"/>
      <c r="C136" s="1109"/>
      <c r="D136" s="1102"/>
      <c r="E136" s="1103"/>
      <c r="F136" s="1052">
        <f>F135*$J$13/1000</f>
        <v>2.4772200000000001E-2</v>
      </c>
      <c r="G136" s="1052"/>
      <c r="H136" s="1052"/>
      <c r="I136" s="1052">
        <f>I135*$Q$13/1000</f>
        <v>0.72319856400000004</v>
      </c>
      <c r="J136" s="1052"/>
      <c r="K136" s="1052"/>
      <c r="L136" s="390"/>
      <c r="M136" s="509"/>
      <c r="N136" s="509"/>
      <c r="O136" s="509"/>
      <c r="P136" s="391"/>
      <c r="Q136" s="392"/>
      <c r="R136" s="1104"/>
      <c r="S136" s="1045"/>
      <c r="T136" s="1045"/>
      <c r="U136" s="1106"/>
      <c r="V136" s="273">
        <f t="shared" si="4"/>
        <v>0</v>
      </c>
      <c r="W136" s="274">
        <f t="shared" si="5"/>
        <v>0</v>
      </c>
      <c r="X136" s="567"/>
    </row>
    <row r="137" spans="1:256" s="463" customFormat="1" ht="21.75" customHeight="1">
      <c r="A137" s="1095">
        <f t="shared" ref="A137" si="8">+A135+1</f>
        <v>41</v>
      </c>
      <c r="B137" s="1097" t="s">
        <v>230</v>
      </c>
      <c r="C137" s="1108" t="s">
        <v>442</v>
      </c>
      <c r="D137" s="1101" t="s">
        <v>180</v>
      </c>
      <c r="E137" s="1321">
        <v>2</v>
      </c>
      <c r="F137" s="1318">
        <v>0.89</v>
      </c>
      <c r="G137" s="1319"/>
      <c r="H137" s="1320"/>
      <c r="I137" s="1318"/>
      <c r="J137" s="1319"/>
      <c r="K137" s="1320"/>
      <c r="L137" s="510"/>
      <c r="M137" s="850"/>
      <c r="N137" s="475"/>
      <c r="O137" s="475"/>
      <c r="P137" s="511"/>
      <c r="Q137" s="512"/>
      <c r="R137" s="476">
        <f>F138+I138</f>
        <v>2.0799300000000001</v>
      </c>
      <c r="S137" s="1044">
        <f>R137+R138</f>
        <v>4.6154368200000011</v>
      </c>
      <c r="T137" s="1044">
        <f>E137*S137</f>
        <v>9.2308736400000022</v>
      </c>
      <c r="U137" s="1316">
        <f>E137*Q138</f>
        <v>5.0710136400000021</v>
      </c>
      <c r="V137" s="273">
        <f t="shared" si="4"/>
        <v>6.1290101383033937</v>
      </c>
      <c r="W137" s="274">
        <f t="shared" si="5"/>
        <v>12.258020276606787</v>
      </c>
      <c r="X137" s="567"/>
      <c r="AA137" s="574"/>
      <c r="AB137" s="158"/>
      <c r="AC137" s="208"/>
      <c r="AD137" s="208"/>
      <c r="AE137" s="208"/>
      <c r="AF137" s="208"/>
      <c r="AG137" s="208"/>
      <c r="AH137" s="208"/>
      <c r="AI137" s="208"/>
      <c r="AJ137" s="208"/>
      <c r="AK137" s="241"/>
      <c r="AL137" s="241"/>
      <c r="AM137" s="241"/>
      <c r="AN137" s="241"/>
    </row>
    <row r="138" spans="1:256" s="463" customFormat="1" ht="21.75" customHeight="1">
      <c r="A138" s="1107"/>
      <c r="B138" s="1098"/>
      <c r="C138" s="1109"/>
      <c r="D138" s="1102"/>
      <c r="E138" s="1322"/>
      <c r="F138" s="1318">
        <f>F137*$J$13/1000</f>
        <v>2.0799300000000001</v>
      </c>
      <c r="G138" s="1319"/>
      <c r="H138" s="1320"/>
      <c r="I138" s="1323">
        <f>I137*$Q$13/1000</f>
        <v>0</v>
      </c>
      <c r="J138" s="1324"/>
      <c r="K138" s="1325"/>
      <c r="L138" s="513" t="s">
        <v>231</v>
      </c>
      <c r="M138" s="471" t="s">
        <v>180</v>
      </c>
      <c r="N138" s="472">
        <v>1.1000000000000001</v>
      </c>
      <c r="O138" s="514">
        <f>E137*N138</f>
        <v>2.2000000000000002</v>
      </c>
      <c r="P138" s="464">
        <v>2</v>
      </c>
      <c r="Q138" s="245">
        <f>N138*P138*$N$11</f>
        <v>2.535506820000001</v>
      </c>
      <c r="R138" s="476">
        <f>SUM(Q138:Q138)</f>
        <v>2.535506820000001</v>
      </c>
      <c r="S138" s="1045"/>
      <c r="T138" s="1045"/>
      <c r="U138" s="1317"/>
      <c r="V138" s="273">
        <f t="shared" si="4"/>
        <v>0</v>
      </c>
      <c r="W138" s="274">
        <f t="shared" si="5"/>
        <v>0</v>
      </c>
      <c r="X138" s="567"/>
      <c r="AA138" s="574"/>
      <c r="AB138" s="158"/>
      <c r="AC138" s="208"/>
      <c r="AD138" s="208"/>
      <c r="AE138" s="208"/>
      <c r="AF138" s="208"/>
      <c r="AG138" s="208"/>
      <c r="AH138" s="208"/>
      <c r="AI138" s="208"/>
      <c r="AJ138" s="208"/>
      <c r="AK138" s="241"/>
      <c r="AL138" s="241"/>
      <c r="AM138" s="241"/>
      <c r="AN138" s="241"/>
    </row>
    <row r="139" spans="1:256" s="242" customFormat="1" ht="14.25" customHeight="1">
      <c r="A139" s="1095">
        <f>+A137+1</f>
        <v>42</v>
      </c>
      <c r="B139" s="1097" t="s">
        <v>443</v>
      </c>
      <c r="C139" s="1099" t="s">
        <v>445</v>
      </c>
      <c r="D139" s="1101" t="s">
        <v>180</v>
      </c>
      <c r="E139" s="1101">
        <v>5</v>
      </c>
      <c r="F139" s="1052"/>
      <c r="G139" s="1052"/>
      <c r="H139" s="1052"/>
      <c r="I139" s="1052">
        <f>0.001*20.3</f>
        <v>2.0300000000000002E-2</v>
      </c>
      <c r="J139" s="1052"/>
      <c r="K139" s="1052"/>
      <c r="L139" s="510"/>
      <c r="M139" s="850"/>
      <c r="N139" s="475"/>
      <c r="O139" s="475"/>
      <c r="P139" s="511"/>
      <c r="Q139" s="512"/>
      <c r="R139" s="476">
        <f>F140+I140</f>
        <v>6.5423043E-2</v>
      </c>
      <c r="S139" s="1044">
        <f>R139+R140</f>
        <v>2.6009298630000011</v>
      </c>
      <c r="T139" s="1044">
        <f>E139*S139</f>
        <v>13.004649315000005</v>
      </c>
      <c r="U139" s="1316">
        <f>E139*Q140</f>
        <v>12.677534100000006</v>
      </c>
      <c r="V139" s="273">
        <f t="shared" si="4"/>
        <v>3.4538714581176002</v>
      </c>
      <c r="W139" s="274">
        <f t="shared" si="5"/>
        <v>17.269357290588001</v>
      </c>
      <c r="X139" s="567"/>
    </row>
    <row r="140" spans="1:256" s="242" customFormat="1" ht="17.25" customHeight="1">
      <c r="A140" s="1107"/>
      <c r="B140" s="1098"/>
      <c r="C140" s="1100"/>
      <c r="D140" s="1102"/>
      <c r="E140" s="1102"/>
      <c r="F140" s="1052"/>
      <c r="G140" s="1052"/>
      <c r="H140" s="1052"/>
      <c r="I140" s="1052">
        <f>I139*$Q$13/1000</f>
        <v>6.5423043E-2</v>
      </c>
      <c r="J140" s="1052"/>
      <c r="K140" s="1052"/>
      <c r="L140" s="513" t="s">
        <v>231</v>
      </c>
      <c r="M140" s="471" t="s">
        <v>180</v>
      </c>
      <c r="N140" s="472">
        <v>1.1000000000000001</v>
      </c>
      <c r="O140" s="514">
        <f>E139*N140</f>
        <v>5.5</v>
      </c>
      <c r="P140" s="464">
        <v>2</v>
      </c>
      <c r="Q140" s="245">
        <f>N140*P140*$N$11</f>
        <v>2.535506820000001</v>
      </c>
      <c r="R140" s="476">
        <f>SUM(Q140:Q140)</f>
        <v>2.535506820000001</v>
      </c>
      <c r="S140" s="1045"/>
      <c r="T140" s="1045"/>
      <c r="U140" s="1317"/>
      <c r="V140" s="273">
        <f t="shared" si="4"/>
        <v>0</v>
      </c>
      <c r="W140" s="274">
        <f t="shared" si="5"/>
        <v>0</v>
      </c>
      <c r="X140" s="567"/>
    </row>
    <row r="141" spans="1:256" s="242" customFormat="1" ht="12.75" customHeight="1">
      <c r="A141" s="1095">
        <f>+A139+1</f>
        <v>43</v>
      </c>
      <c r="B141" s="1097" t="s">
        <v>332</v>
      </c>
      <c r="C141" s="1108" t="s">
        <v>342</v>
      </c>
      <c r="D141" s="1101" t="s">
        <v>180</v>
      </c>
      <c r="E141" s="1101">
        <v>15</v>
      </c>
      <c r="F141" s="1052"/>
      <c r="G141" s="1052"/>
      <c r="H141" s="1052"/>
      <c r="I141" s="1052">
        <f>0.001*25</f>
        <v>2.5000000000000001E-2</v>
      </c>
      <c r="J141" s="1052"/>
      <c r="K141" s="1052"/>
      <c r="L141" s="393"/>
      <c r="M141" s="394"/>
      <c r="N141" s="395"/>
      <c r="O141" s="395"/>
      <c r="P141" s="396"/>
      <c r="Q141" s="397"/>
      <c r="R141" s="1044">
        <f>F142+I142</f>
        <v>8.0570249999999996E-2</v>
      </c>
      <c r="S141" s="1044">
        <f>R141+R142</f>
        <v>8.0570249999999996E-2</v>
      </c>
      <c r="T141" s="1044">
        <f>E141*S141</f>
        <v>1.2085537499999999</v>
      </c>
      <c r="U141" s="1046"/>
      <c r="V141" s="273">
        <f t="shared" si="4"/>
        <v>0.10699223028160504</v>
      </c>
      <c r="W141" s="274">
        <f t="shared" si="5"/>
        <v>1.6048834542240755</v>
      </c>
      <c r="X141" s="567"/>
    </row>
    <row r="142" spans="1:256" s="242" customFormat="1" ht="12.75" customHeight="1">
      <c r="A142" s="1107"/>
      <c r="B142" s="1098"/>
      <c r="C142" s="1109"/>
      <c r="D142" s="1102"/>
      <c r="E142" s="1102"/>
      <c r="F142" s="1052"/>
      <c r="G142" s="1052"/>
      <c r="H142" s="1052"/>
      <c r="I142" s="1052">
        <f>I141*$Q$13/1000</f>
        <v>8.0570249999999996E-2</v>
      </c>
      <c r="J142" s="1052"/>
      <c r="K142" s="1052"/>
      <c r="L142" s="390"/>
      <c r="M142" s="401"/>
      <c r="N142" s="402"/>
      <c r="O142" s="402"/>
      <c r="P142" s="391"/>
      <c r="Q142" s="403"/>
      <c r="R142" s="1045"/>
      <c r="S142" s="1045"/>
      <c r="T142" s="1045"/>
      <c r="U142" s="1047"/>
      <c r="V142" s="273">
        <f t="shared" si="4"/>
        <v>0</v>
      </c>
      <c r="W142" s="274">
        <f t="shared" si="5"/>
        <v>0</v>
      </c>
      <c r="X142" s="567"/>
    </row>
    <row r="143" spans="1:256" s="242" customFormat="1" ht="21.75" customHeight="1">
      <c r="A143" s="1300">
        <f t="shared" ref="A143" si="9">+A141+1</f>
        <v>44</v>
      </c>
      <c r="B143" s="1097" t="s">
        <v>446</v>
      </c>
      <c r="C143" s="1099" t="s">
        <v>448</v>
      </c>
      <c r="D143" s="1101" t="s">
        <v>180</v>
      </c>
      <c r="E143" s="1101">
        <v>7</v>
      </c>
      <c r="F143" s="1304"/>
      <c r="G143" s="1304"/>
      <c r="H143" s="1304"/>
      <c r="I143" s="1305">
        <f>140/1000</f>
        <v>0.14000000000000001</v>
      </c>
      <c r="J143" s="1306"/>
      <c r="K143" s="1307"/>
      <c r="L143" s="387"/>
      <c r="M143" s="661"/>
      <c r="N143" s="661"/>
      <c r="O143" s="661"/>
      <c r="P143" s="662"/>
      <c r="Q143" s="389"/>
      <c r="R143" s="1044">
        <f>F144+I144</f>
        <v>0.45119340000000008</v>
      </c>
      <c r="S143" s="1044">
        <f>R143+R144</f>
        <v>0.45119340000000008</v>
      </c>
      <c r="T143" s="1044">
        <f>E143*S143</f>
        <v>3.1583538000000004</v>
      </c>
      <c r="U143" s="1105"/>
      <c r="V143" s="273">
        <f t="shared" si="4"/>
        <v>0.5991564895769883</v>
      </c>
      <c r="W143" s="274">
        <f t="shared" si="5"/>
        <v>4.1940954270389179</v>
      </c>
      <c r="X143" s="567"/>
      <c r="Y143" s="851"/>
      <c r="Z143" s="851"/>
      <c r="AA143" s="174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852"/>
      <c r="AP143" s="852"/>
      <c r="AQ143" s="852"/>
      <c r="AR143" s="852"/>
      <c r="AS143" s="852"/>
      <c r="AT143" s="852"/>
      <c r="AU143" s="852"/>
      <c r="AV143" s="852"/>
      <c r="AW143" s="852"/>
    </row>
    <row r="144" spans="1:256" s="242" customFormat="1" ht="21.75" customHeight="1">
      <c r="A144" s="1301"/>
      <c r="B144" s="1302"/>
      <c r="C144" s="1303"/>
      <c r="D144" s="1102"/>
      <c r="E144" s="1102"/>
      <c r="F144" s="1312">
        <f>F143*$J$13/1000</f>
        <v>0</v>
      </c>
      <c r="G144" s="1312"/>
      <c r="H144" s="1312"/>
      <c r="I144" s="1313">
        <f>I143*$Q$13/1000</f>
        <v>0.45119340000000008</v>
      </c>
      <c r="J144" s="1314"/>
      <c r="K144" s="1315"/>
      <c r="L144" s="390"/>
      <c r="M144" s="509"/>
      <c r="N144" s="509"/>
      <c r="O144" s="509"/>
      <c r="P144" s="391"/>
      <c r="Q144" s="392"/>
      <c r="R144" s="1045"/>
      <c r="S144" s="1045"/>
      <c r="T144" s="1045"/>
      <c r="U144" s="1185"/>
      <c r="V144" s="273">
        <f t="shared" si="4"/>
        <v>0</v>
      </c>
      <c r="W144" s="274">
        <f t="shared" si="5"/>
        <v>0</v>
      </c>
      <c r="X144" s="567"/>
      <c r="Y144" s="851"/>
      <c r="Z144" s="851"/>
      <c r="AA144" s="174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853"/>
      <c r="AP144" s="853"/>
      <c r="AQ144" s="853"/>
      <c r="AR144" s="853"/>
      <c r="AS144" s="853"/>
      <c r="AT144" s="853"/>
      <c r="AU144" s="853"/>
      <c r="AV144" s="853"/>
      <c r="AW144" s="853"/>
    </row>
    <row r="145" spans="1:256" s="242" customFormat="1" ht="14.25" customHeight="1">
      <c r="A145" s="1095">
        <f>+A143+1</f>
        <v>45</v>
      </c>
      <c r="B145" s="1097" t="s">
        <v>449</v>
      </c>
      <c r="C145" s="1099" t="s">
        <v>451</v>
      </c>
      <c r="D145" s="1101" t="s">
        <v>180</v>
      </c>
      <c r="E145" s="1101">
        <v>0.5</v>
      </c>
      <c r="F145" s="1052">
        <v>1.67</v>
      </c>
      <c r="G145" s="1052"/>
      <c r="H145" s="1052"/>
      <c r="I145" s="1052"/>
      <c r="J145" s="1052"/>
      <c r="K145" s="1052"/>
      <c r="L145" s="510"/>
      <c r="M145" s="850"/>
      <c r="N145" s="475"/>
      <c r="O145" s="475"/>
      <c r="P145" s="511"/>
      <c r="Q145" s="512"/>
      <c r="R145" s="476">
        <f>F146+I146</f>
        <v>3.90279</v>
      </c>
      <c r="S145" s="1044">
        <f>R145+R146</f>
        <v>9.3771797250000013</v>
      </c>
      <c r="T145" s="1044">
        <f>E145*S145</f>
        <v>4.6885898625000006</v>
      </c>
      <c r="U145" s="1316">
        <f>E145*Q146</f>
        <v>2.7371948625000009</v>
      </c>
      <c r="V145" s="273">
        <f t="shared" si="4"/>
        <v>12.452305566002314</v>
      </c>
      <c r="W145" s="274">
        <f t="shared" si="5"/>
        <v>6.2261527830011572</v>
      </c>
      <c r="X145" s="567"/>
    </row>
    <row r="146" spans="1:256" s="420" customFormat="1" ht="17.25" customHeight="1">
      <c r="A146" s="1107"/>
      <c r="B146" s="1098"/>
      <c r="C146" s="1100"/>
      <c r="D146" s="1102"/>
      <c r="E146" s="1102"/>
      <c r="F146" s="1318">
        <f>F145*$J$13/1000</f>
        <v>3.90279</v>
      </c>
      <c r="G146" s="1319"/>
      <c r="H146" s="1320"/>
      <c r="I146" s="1052">
        <f>I145*$Q$13/1000</f>
        <v>0</v>
      </c>
      <c r="J146" s="1052"/>
      <c r="K146" s="1052"/>
      <c r="L146" s="513" t="s">
        <v>450</v>
      </c>
      <c r="M146" s="471" t="s">
        <v>180</v>
      </c>
      <c r="N146" s="472">
        <v>1.25</v>
      </c>
      <c r="O146" s="514">
        <f>E145*N146</f>
        <v>0.625</v>
      </c>
      <c r="P146" s="464">
        <v>3.8</v>
      </c>
      <c r="Q146" s="245">
        <f>N146*P146*$N$11</f>
        <v>5.4743897250000018</v>
      </c>
      <c r="R146" s="476">
        <f>SUM(Q146:Q146)</f>
        <v>5.4743897250000018</v>
      </c>
      <c r="S146" s="1045"/>
      <c r="T146" s="1045"/>
      <c r="U146" s="1317"/>
      <c r="V146" s="273">
        <f t="shared" si="4"/>
        <v>0</v>
      </c>
      <c r="W146" s="274">
        <f t="shared" si="5"/>
        <v>0</v>
      </c>
      <c r="X146" s="567"/>
      <c r="Y146" s="242"/>
      <c r="Z146" s="242"/>
      <c r="AA146" s="242"/>
      <c r="AB146" s="242"/>
      <c r="AC146" s="242"/>
      <c r="AD146" s="242"/>
      <c r="AE146" s="242"/>
    </row>
    <row r="147" spans="1:256" s="564" customFormat="1" ht="14.25" customHeight="1">
      <c r="B147" s="771"/>
      <c r="C147" s="831" t="s">
        <v>330</v>
      </c>
      <c r="D147" s="664"/>
      <c r="E147" s="664"/>
      <c r="F147" s="778"/>
      <c r="G147" s="665"/>
      <c r="H147" s="665"/>
      <c r="I147" s="665"/>
      <c r="J147" s="665"/>
      <c r="K147" s="665"/>
      <c r="L147" s="849"/>
      <c r="M147" s="665"/>
      <c r="N147" s="665"/>
      <c r="O147" s="665"/>
      <c r="P147" s="665"/>
      <c r="Q147" s="665"/>
      <c r="R147" s="665"/>
      <c r="S147" s="665"/>
      <c r="T147" s="672"/>
      <c r="U147" s="665"/>
      <c r="V147" s="273">
        <f t="shared" si="4"/>
        <v>0</v>
      </c>
      <c r="W147" s="274">
        <f t="shared" si="5"/>
        <v>0</v>
      </c>
      <c r="X147" s="567"/>
      <c r="Y147" s="666"/>
      <c r="Z147" s="666"/>
      <c r="AA147" s="666"/>
      <c r="AB147" s="666"/>
      <c r="AC147" s="666"/>
      <c r="AD147" s="666"/>
      <c r="AE147" s="666"/>
      <c r="AF147" s="666"/>
      <c r="AG147" s="666"/>
      <c r="AH147" s="666"/>
      <c r="AI147" s="666"/>
      <c r="AJ147" s="666"/>
      <c r="AK147" s="666"/>
      <c r="AL147" s="563"/>
      <c r="AM147" s="563"/>
      <c r="AN147" s="563"/>
      <c r="AO147" s="563"/>
      <c r="AP147" s="563"/>
      <c r="AQ147" s="563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  <c r="BY147" s="563"/>
      <c r="BZ147" s="563"/>
      <c r="CA147" s="563"/>
      <c r="CB147" s="563"/>
      <c r="CC147" s="563"/>
      <c r="CD147" s="563"/>
      <c r="CE147" s="563"/>
      <c r="CF147" s="563"/>
      <c r="CG147" s="563"/>
      <c r="CH147" s="563"/>
      <c r="CI147" s="563"/>
      <c r="CJ147" s="563"/>
      <c r="CK147" s="563"/>
      <c r="CL147" s="563"/>
      <c r="CM147" s="563"/>
      <c r="CN147" s="563"/>
      <c r="CO147" s="563"/>
      <c r="CP147" s="563"/>
      <c r="CQ147" s="563"/>
      <c r="CR147" s="563"/>
      <c r="CS147" s="563"/>
      <c r="CT147" s="563"/>
      <c r="CU147" s="563"/>
      <c r="CV147" s="563"/>
      <c r="CW147" s="563"/>
      <c r="CX147" s="563"/>
      <c r="CY147" s="563"/>
      <c r="CZ147" s="563"/>
      <c r="DA147" s="563"/>
      <c r="DB147" s="563"/>
      <c r="DC147" s="563"/>
      <c r="DD147" s="563"/>
      <c r="DE147" s="563"/>
      <c r="DF147" s="563"/>
      <c r="DG147" s="563"/>
      <c r="DH147" s="563"/>
      <c r="DI147" s="563"/>
      <c r="DJ147" s="563"/>
      <c r="DK147" s="563"/>
      <c r="DL147" s="563"/>
      <c r="DM147" s="563"/>
      <c r="DN147" s="563"/>
      <c r="DO147" s="563"/>
      <c r="DP147" s="563"/>
      <c r="DQ147" s="563"/>
      <c r="DR147" s="563"/>
      <c r="DS147" s="563"/>
      <c r="DT147" s="563"/>
      <c r="DU147" s="563"/>
      <c r="DV147" s="563"/>
      <c r="DW147" s="563"/>
      <c r="DX147" s="563"/>
      <c r="DY147" s="563"/>
      <c r="DZ147" s="563"/>
      <c r="EA147" s="563"/>
      <c r="EB147" s="563"/>
      <c r="EC147" s="563"/>
      <c r="ED147" s="563"/>
      <c r="EE147" s="563"/>
      <c r="EF147" s="563"/>
      <c r="EG147" s="563"/>
      <c r="EH147" s="563"/>
      <c r="EI147" s="563"/>
      <c r="EJ147" s="563"/>
      <c r="EK147" s="563"/>
      <c r="EL147" s="563"/>
      <c r="EM147" s="563"/>
      <c r="EN147" s="563"/>
      <c r="EO147" s="563"/>
      <c r="EP147" s="563"/>
      <c r="EQ147" s="563"/>
      <c r="ER147" s="563"/>
      <c r="ES147" s="563"/>
      <c r="ET147" s="563"/>
      <c r="EU147" s="563"/>
      <c r="EV147" s="563"/>
      <c r="EW147" s="563"/>
      <c r="EX147" s="563"/>
      <c r="EY147" s="563"/>
      <c r="EZ147" s="563"/>
      <c r="FA147" s="563"/>
      <c r="FB147" s="563"/>
      <c r="FC147" s="563"/>
      <c r="FD147" s="563"/>
      <c r="FE147" s="563"/>
      <c r="FF147" s="563"/>
      <c r="FG147" s="563"/>
      <c r="FH147" s="563"/>
      <c r="FI147" s="563"/>
      <c r="FJ147" s="563"/>
      <c r="FK147" s="563"/>
      <c r="FL147" s="563"/>
      <c r="FM147" s="563"/>
      <c r="FN147" s="563"/>
      <c r="FO147" s="563"/>
      <c r="FP147" s="563"/>
      <c r="FQ147" s="563"/>
      <c r="FR147" s="563"/>
      <c r="FS147" s="563"/>
      <c r="FT147" s="563"/>
      <c r="FU147" s="563"/>
      <c r="FV147" s="563"/>
      <c r="FW147" s="563"/>
      <c r="FX147" s="563"/>
      <c r="FY147" s="563"/>
      <c r="FZ147" s="563"/>
      <c r="GA147" s="563"/>
      <c r="GB147" s="563"/>
      <c r="GC147" s="563"/>
      <c r="GD147" s="563"/>
      <c r="GE147" s="563"/>
      <c r="GF147" s="563"/>
      <c r="GG147" s="563"/>
      <c r="GH147" s="563"/>
      <c r="GI147" s="563"/>
      <c r="GJ147" s="563"/>
      <c r="GK147" s="563"/>
      <c r="GL147" s="563"/>
      <c r="GM147" s="563"/>
      <c r="GN147" s="563"/>
      <c r="GO147" s="563"/>
      <c r="GP147" s="563"/>
      <c r="GQ147" s="563"/>
      <c r="GR147" s="563"/>
      <c r="GS147" s="563"/>
      <c r="GT147" s="563"/>
      <c r="GU147" s="563"/>
      <c r="GV147" s="563"/>
      <c r="GW147" s="563"/>
      <c r="GX147" s="563"/>
      <c r="GY147" s="563"/>
      <c r="GZ147" s="563"/>
      <c r="HA147" s="563"/>
      <c r="HB147" s="563"/>
      <c r="HC147" s="563"/>
      <c r="HD147" s="563"/>
      <c r="HE147" s="563"/>
      <c r="HF147" s="563"/>
      <c r="HG147" s="563"/>
      <c r="HH147" s="563"/>
      <c r="HI147" s="563"/>
      <c r="HJ147" s="563"/>
      <c r="HK147" s="563"/>
      <c r="HL147" s="563"/>
      <c r="HM147" s="563"/>
      <c r="HN147" s="563"/>
      <c r="HO147" s="563"/>
      <c r="HP147" s="563"/>
      <c r="HQ147" s="563"/>
      <c r="HR147" s="563"/>
      <c r="HS147" s="563"/>
      <c r="HT147" s="563"/>
      <c r="HU147" s="563"/>
      <c r="HV147" s="563"/>
      <c r="HW147" s="563"/>
      <c r="HX147" s="563"/>
      <c r="HY147" s="563"/>
      <c r="HZ147" s="563"/>
      <c r="IA147" s="563"/>
      <c r="IB147" s="563"/>
      <c r="IC147" s="563"/>
      <c r="ID147" s="563"/>
      <c r="IE147" s="563"/>
      <c r="IF147" s="563"/>
      <c r="IG147" s="563"/>
      <c r="IH147" s="563"/>
      <c r="II147" s="563"/>
      <c r="IJ147" s="563"/>
      <c r="IK147" s="563"/>
      <c r="IL147" s="563"/>
      <c r="IM147" s="563"/>
      <c r="IN147" s="563"/>
      <c r="IO147" s="563"/>
      <c r="IP147" s="563"/>
      <c r="IQ147" s="563"/>
      <c r="IR147" s="563"/>
      <c r="IS147" s="563"/>
      <c r="IT147" s="563"/>
      <c r="IU147" s="563"/>
      <c r="IV147" s="563"/>
    </row>
    <row r="148" spans="1:256" s="854" customFormat="1">
      <c r="A148" s="1005">
        <f>+A145+1</f>
        <v>46</v>
      </c>
      <c r="B148" s="1008" t="s">
        <v>374</v>
      </c>
      <c r="C148" s="1053" t="s">
        <v>452</v>
      </c>
      <c r="D148" s="1014" t="s">
        <v>116</v>
      </c>
      <c r="E148" s="1055">
        <v>14</v>
      </c>
      <c r="F148" s="993">
        <v>0.22</v>
      </c>
      <c r="G148" s="994"/>
      <c r="H148" s="995"/>
      <c r="I148" s="993">
        <v>0.04</v>
      </c>
      <c r="J148" s="994"/>
      <c r="K148" s="995"/>
      <c r="L148" s="267"/>
      <c r="M148" s="898"/>
      <c r="N148" s="797"/>
      <c r="O148" s="797"/>
      <c r="P148" s="268"/>
      <c r="Q148" s="801"/>
      <c r="R148" s="794">
        <f>F149+I149</f>
        <v>0.64305239999999997</v>
      </c>
      <c r="S148" s="987">
        <f>R148+R149</f>
        <v>5.1896771295000015</v>
      </c>
      <c r="T148" s="987">
        <f>E148*S148</f>
        <v>72.655479813000028</v>
      </c>
      <c r="U148" s="1017">
        <f>E148*R149</f>
        <v>63.652746213000015</v>
      </c>
      <c r="V148" s="273">
        <f t="shared" si="4"/>
        <v>6.8915651934385602</v>
      </c>
      <c r="W148" s="274">
        <f t="shared" si="5"/>
        <v>96.481912708139845</v>
      </c>
      <c r="X148" s="567"/>
      <c r="Y148" s="239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744"/>
    </row>
    <row r="149" spans="1:256" s="854" customFormat="1" ht="28.5" customHeight="1">
      <c r="A149" s="1007"/>
      <c r="B149" s="1010"/>
      <c r="C149" s="1054"/>
      <c r="D149" s="1016"/>
      <c r="E149" s="1056"/>
      <c r="F149" s="993">
        <f>F148*$J$13/1000</f>
        <v>0.51414000000000004</v>
      </c>
      <c r="G149" s="994"/>
      <c r="H149" s="995"/>
      <c r="I149" s="993">
        <f>I148*$Q$13/1000</f>
        <v>0.12891239999999998</v>
      </c>
      <c r="J149" s="994"/>
      <c r="K149" s="995"/>
      <c r="L149" s="248" t="s">
        <v>453</v>
      </c>
      <c r="M149" s="243" t="s">
        <v>116</v>
      </c>
      <c r="N149" s="244">
        <v>1</v>
      </c>
      <c r="O149" s="247">
        <f>E148*N149</f>
        <v>14</v>
      </c>
      <c r="P149" s="240">
        <v>3.9449999999999998</v>
      </c>
      <c r="Q149" s="245">
        <f>N149*P149*$N$11</f>
        <v>4.5466247295000013</v>
      </c>
      <c r="R149" s="792">
        <f>SUM(Q149:Q149)</f>
        <v>4.5466247295000013</v>
      </c>
      <c r="S149" s="989"/>
      <c r="T149" s="989"/>
      <c r="U149" s="1019"/>
      <c r="V149" s="273">
        <f t="shared" ref="V149:V212" si="10">+$V$14*S149</f>
        <v>0</v>
      </c>
      <c r="W149" s="274">
        <f t="shared" ref="W149:W212" si="11">+V149*E149</f>
        <v>0</v>
      </c>
      <c r="X149" s="567"/>
      <c r="Y149" s="239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744"/>
    </row>
    <row r="150" spans="1:256" s="854" customFormat="1">
      <c r="A150" s="1005">
        <f>+A148+1</f>
        <v>47</v>
      </c>
      <c r="B150" s="1008" t="s">
        <v>454</v>
      </c>
      <c r="C150" s="1053" t="s">
        <v>455</v>
      </c>
      <c r="D150" s="1014" t="s">
        <v>116</v>
      </c>
      <c r="E150" s="1055">
        <v>4</v>
      </c>
      <c r="F150" s="993">
        <v>0.21</v>
      </c>
      <c r="G150" s="994"/>
      <c r="H150" s="995"/>
      <c r="I150" s="993">
        <v>0.03</v>
      </c>
      <c r="J150" s="994"/>
      <c r="K150" s="995"/>
      <c r="L150" s="267"/>
      <c r="M150" s="898"/>
      <c r="N150" s="797"/>
      <c r="O150" s="797"/>
      <c r="P150" s="268"/>
      <c r="Q150" s="801"/>
      <c r="R150" s="794">
        <f>F151+I151</f>
        <v>0.58745429999999998</v>
      </c>
      <c r="S150" s="987">
        <f>R150+R151</f>
        <v>4.2950567727000006</v>
      </c>
      <c r="T150" s="987">
        <f>E150*S150</f>
        <v>17.180227090800003</v>
      </c>
      <c r="U150" s="1017">
        <f>E150*R151</f>
        <v>14.830409890800004</v>
      </c>
      <c r="V150" s="273">
        <f t="shared" si="10"/>
        <v>5.7035655629377571</v>
      </c>
      <c r="W150" s="274">
        <f t="shared" si="11"/>
        <v>22.814262251751028</v>
      </c>
      <c r="X150" s="567"/>
      <c r="Y150" s="239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744"/>
    </row>
    <row r="151" spans="1:256" s="854" customFormat="1" ht="28.5" customHeight="1">
      <c r="A151" s="1007"/>
      <c r="B151" s="1010"/>
      <c r="C151" s="1054"/>
      <c r="D151" s="1016"/>
      <c r="E151" s="1056"/>
      <c r="F151" s="993">
        <f>F150*$J$13/1000</f>
        <v>0.49076999999999998</v>
      </c>
      <c r="G151" s="994"/>
      <c r="H151" s="995"/>
      <c r="I151" s="993">
        <f>I150*$Q$13/1000</f>
        <v>9.6684299999999987E-2</v>
      </c>
      <c r="J151" s="994"/>
      <c r="K151" s="995"/>
      <c r="L151" s="248" t="s">
        <v>423</v>
      </c>
      <c r="M151" s="243" t="s">
        <v>116</v>
      </c>
      <c r="N151" s="244">
        <v>1</v>
      </c>
      <c r="O151" s="247">
        <f>E150*N151</f>
        <v>4</v>
      </c>
      <c r="P151" s="240">
        <v>3.2170000000000001</v>
      </c>
      <c r="Q151" s="245">
        <f>N151*P151*$N$11</f>
        <v>3.707602472700001</v>
      </c>
      <c r="R151" s="792">
        <f>SUM(Q151:Q151)</f>
        <v>3.707602472700001</v>
      </c>
      <c r="S151" s="989"/>
      <c r="T151" s="989"/>
      <c r="U151" s="1019"/>
      <c r="V151" s="273">
        <f t="shared" si="10"/>
        <v>0</v>
      </c>
      <c r="W151" s="274">
        <f t="shared" si="11"/>
        <v>0</v>
      </c>
      <c r="X151" s="567"/>
      <c r="Y151" s="239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744"/>
    </row>
    <row r="152" spans="1:256" s="855" customFormat="1" ht="16.5" customHeight="1">
      <c r="A152" s="1162">
        <f>+A150+1</f>
        <v>48</v>
      </c>
      <c r="B152" s="1168" t="s">
        <v>279</v>
      </c>
      <c r="C152" s="1122" t="s">
        <v>456</v>
      </c>
      <c r="D152" s="1124" t="s">
        <v>164</v>
      </c>
      <c r="E152" s="1170">
        <v>4</v>
      </c>
      <c r="F152" s="1126">
        <v>0.31</v>
      </c>
      <c r="G152" s="1127"/>
      <c r="H152" s="1128"/>
      <c r="I152" s="1126">
        <v>0.31</v>
      </c>
      <c r="J152" s="1127"/>
      <c r="K152" s="1128"/>
      <c r="L152" s="526"/>
      <c r="M152" s="527"/>
      <c r="N152" s="528"/>
      <c r="O152" s="528"/>
      <c r="P152" s="529"/>
      <c r="Q152" s="530"/>
      <c r="R152" s="531">
        <f>F153+I153</f>
        <v>1.7235411</v>
      </c>
      <c r="S152" s="1118">
        <f>R152+R153</f>
        <v>10.367314350000003</v>
      </c>
      <c r="T152" s="1118">
        <f>E152*S152</f>
        <v>41.469257400000011</v>
      </c>
      <c r="U152" s="1120">
        <f>+R153*E152</f>
        <v>34.57509300000001</v>
      </c>
      <c r="V152" s="273">
        <f t="shared" si="10"/>
        <v>13.767142144116331</v>
      </c>
      <c r="W152" s="274">
        <f t="shared" si="11"/>
        <v>55.068568576465324</v>
      </c>
      <c r="X152" s="567"/>
      <c r="Y152" s="532"/>
      <c r="Z152" s="532"/>
      <c r="AA152" s="532"/>
      <c r="AB152" s="532"/>
      <c r="AC152" s="532"/>
      <c r="AD152" s="532"/>
      <c r="AE152" s="532"/>
    </row>
    <row r="153" spans="1:256" s="855" customFormat="1" ht="16.5" customHeight="1">
      <c r="A153" s="1163"/>
      <c r="B153" s="1169"/>
      <c r="C153" s="1123"/>
      <c r="D153" s="1125"/>
      <c r="E153" s="1171"/>
      <c r="F153" s="1126">
        <f>F152*$J$13/1000</f>
        <v>0.72447000000000006</v>
      </c>
      <c r="G153" s="1127"/>
      <c r="H153" s="1128"/>
      <c r="I153" s="1126">
        <f>I152*$Q$13/1000</f>
        <v>0.99907109999999999</v>
      </c>
      <c r="J153" s="1127"/>
      <c r="K153" s="1128"/>
      <c r="L153" s="533" t="s">
        <v>273</v>
      </c>
      <c r="M153" s="534" t="s">
        <v>164</v>
      </c>
      <c r="N153" s="535">
        <v>1</v>
      </c>
      <c r="O153" s="536">
        <f>E152*N153</f>
        <v>4</v>
      </c>
      <c r="P153" s="467">
        <f>9/1.2</f>
        <v>7.5</v>
      </c>
      <c r="Q153" s="537">
        <f>N153*P153*$N$11</f>
        <v>8.6437732500000024</v>
      </c>
      <c r="R153" s="538">
        <f>+Q153</f>
        <v>8.6437732500000024</v>
      </c>
      <c r="S153" s="1119"/>
      <c r="T153" s="1119"/>
      <c r="U153" s="1121"/>
      <c r="V153" s="273">
        <f t="shared" si="10"/>
        <v>0</v>
      </c>
      <c r="W153" s="274">
        <f t="shared" si="11"/>
        <v>0</v>
      </c>
      <c r="X153" s="567"/>
      <c r="Y153" s="532"/>
      <c r="Z153" s="532"/>
      <c r="AA153" s="532"/>
      <c r="AB153" s="532"/>
      <c r="AC153" s="532"/>
      <c r="AD153" s="532"/>
      <c r="AE153" s="532"/>
    </row>
    <row r="154" spans="1:256" s="335" customFormat="1" ht="16.5" customHeight="1">
      <c r="A154" s="1162">
        <f t="shared" ref="A154" si="12">+A152+1</f>
        <v>49</v>
      </c>
      <c r="B154" s="1008" t="s">
        <v>280</v>
      </c>
      <c r="C154" s="1053" t="s">
        <v>462</v>
      </c>
      <c r="D154" s="1014" t="s">
        <v>164</v>
      </c>
      <c r="E154" s="1055">
        <v>2</v>
      </c>
      <c r="F154" s="1164">
        <v>1.31</v>
      </c>
      <c r="G154" s="1165"/>
      <c r="H154" s="1166"/>
      <c r="I154" s="1164">
        <v>0.09</v>
      </c>
      <c r="J154" s="1165"/>
      <c r="K154" s="1166"/>
      <c r="L154" s="336"/>
      <c r="M154" s="898"/>
      <c r="N154" s="539"/>
      <c r="O154" s="539"/>
      <c r="P154" s="466"/>
      <c r="Q154" s="786"/>
      <c r="R154" s="794">
        <f>F155+I155</f>
        <v>3.3515229000000004</v>
      </c>
      <c r="S154" s="987">
        <f>R154+R155</f>
        <v>46.570389150000011</v>
      </c>
      <c r="T154" s="987">
        <f>E154*S154</f>
        <v>93.140778300000022</v>
      </c>
      <c r="U154" s="1166">
        <f>R155*E154</f>
        <v>86.437732500000024</v>
      </c>
      <c r="V154" s="273">
        <f t="shared" si="10"/>
        <v>61.842551068673139</v>
      </c>
      <c r="W154" s="274">
        <f t="shared" si="11"/>
        <v>123.68510213734628</v>
      </c>
      <c r="X154" s="567"/>
      <c r="Y154" s="209"/>
      <c r="Z154" s="209"/>
      <c r="AA154" s="209"/>
      <c r="AB154" s="209"/>
      <c r="AC154" s="209"/>
      <c r="AD154" s="209"/>
      <c r="AE154" s="209"/>
    </row>
    <row r="155" spans="1:256" s="335" customFormat="1" ht="16.5" customHeight="1">
      <c r="A155" s="1163"/>
      <c r="B155" s="1010"/>
      <c r="C155" s="1054"/>
      <c r="D155" s="1016"/>
      <c r="E155" s="1056"/>
      <c r="F155" s="993">
        <f>F154*$J$13/1000</f>
        <v>3.0614700000000004</v>
      </c>
      <c r="G155" s="994"/>
      <c r="H155" s="995"/>
      <c r="I155" s="993">
        <f>I154*$Q$13/1000</f>
        <v>0.29005289999999995</v>
      </c>
      <c r="J155" s="994"/>
      <c r="K155" s="995"/>
      <c r="L155" s="540" t="s">
        <v>464</v>
      </c>
      <c r="M155" s="243" t="s">
        <v>164</v>
      </c>
      <c r="N155" s="541">
        <v>1</v>
      </c>
      <c r="O155" s="542">
        <f>E154*N155</f>
        <v>2</v>
      </c>
      <c r="P155" s="338">
        <f>45/1.2</f>
        <v>37.5</v>
      </c>
      <c r="Q155" s="245">
        <f>N155*P155*$N$11</f>
        <v>43.218866250000012</v>
      </c>
      <c r="R155" s="794">
        <f>SUM(Q155:Q155)</f>
        <v>43.218866250000012</v>
      </c>
      <c r="S155" s="989"/>
      <c r="T155" s="989"/>
      <c r="U155" s="1167"/>
      <c r="V155" s="273">
        <f t="shared" si="10"/>
        <v>0</v>
      </c>
      <c r="W155" s="274">
        <f t="shared" si="11"/>
        <v>0</v>
      </c>
      <c r="X155" s="567"/>
      <c r="Y155" s="209"/>
      <c r="Z155" s="209"/>
      <c r="AA155" s="209"/>
      <c r="AB155" s="209"/>
      <c r="AC155" s="209"/>
      <c r="AD155" s="209"/>
      <c r="AE155" s="209"/>
    </row>
    <row r="156" spans="1:256" s="856" customFormat="1" ht="16.5" customHeight="1">
      <c r="A156" s="1162">
        <f t="shared" ref="A156" si="13">+A154+1</f>
        <v>50</v>
      </c>
      <c r="B156" s="1168" t="s">
        <v>376</v>
      </c>
      <c r="C156" s="1122" t="s">
        <v>459</v>
      </c>
      <c r="D156" s="1124" t="s">
        <v>164</v>
      </c>
      <c r="E156" s="1170">
        <v>2</v>
      </c>
      <c r="F156" s="1126">
        <v>0.39</v>
      </c>
      <c r="G156" s="1127"/>
      <c r="H156" s="1128"/>
      <c r="I156" s="1126">
        <v>0.41</v>
      </c>
      <c r="J156" s="1127"/>
      <c r="K156" s="1128"/>
      <c r="L156" s="526"/>
      <c r="M156" s="527"/>
      <c r="N156" s="528"/>
      <c r="O156" s="528"/>
      <c r="P156" s="529"/>
      <c r="Q156" s="530"/>
      <c r="R156" s="531">
        <f>F157+I157</f>
        <v>2.2327821000000001</v>
      </c>
      <c r="S156" s="1118">
        <f>R156+R157</f>
        <v>12.797393850000004</v>
      </c>
      <c r="T156" s="1118">
        <f>E156*S156</f>
        <v>25.594787700000008</v>
      </c>
      <c r="U156" s="1120">
        <f>+R157*E156</f>
        <v>21.129223500000009</v>
      </c>
      <c r="V156" s="273">
        <f t="shared" si="10"/>
        <v>16.994135053615903</v>
      </c>
      <c r="W156" s="274">
        <f t="shared" si="11"/>
        <v>33.988270107231806</v>
      </c>
      <c r="X156" s="567"/>
      <c r="Y156" s="532"/>
      <c r="Z156" s="532"/>
      <c r="AA156" s="532"/>
      <c r="AB156" s="532"/>
      <c r="AC156" s="532"/>
      <c r="AD156" s="532"/>
      <c r="AE156" s="532"/>
    </row>
    <row r="157" spans="1:256" s="856" customFormat="1" ht="16.5" customHeight="1">
      <c r="A157" s="1163"/>
      <c r="B157" s="1169"/>
      <c r="C157" s="1123"/>
      <c r="D157" s="1125"/>
      <c r="E157" s="1171"/>
      <c r="F157" s="1126">
        <f>F156*$J$13/1000</f>
        <v>0.91143000000000007</v>
      </c>
      <c r="G157" s="1127"/>
      <c r="H157" s="1128"/>
      <c r="I157" s="1126">
        <f>I156*$Q$13/1000</f>
        <v>1.3213520999999999</v>
      </c>
      <c r="J157" s="1127"/>
      <c r="K157" s="1128"/>
      <c r="L157" s="533" t="s">
        <v>273</v>
      </c>
      <c r="M157" s="534" t="s">
        <v>164</v>
      </c>
      <c r="N157" s="535">
        <v>1</v>
      </c>
      <c r="O157" s="536">
        <f>E156*N157</f>
        <v>2</v>
      </c>
      <c r="P157" s="467">
        <f>11/1.2</f>
        <v>9.1666666666666679</v>
      </c>
      <c r="Q157" s="537">
        <f>N157*P157*$N$11</f>
        <v>10.564611750000005</v>
      </c>
      <c r="R157" s="538">
        <f>+Q157</f>
        <v>10.564611750000005</v>
      </c>
      <c r="S157" s="1119"/>
      <c r="T157" s="1119"/>
      <c r="U157" s="1121"/>
      <c r="V157" s="273">
        <f t="shared" si="10"/>
        <v>0</v>
      </c>
      <c r="W157" s="274">
        <f t="shared" si="11"/>
        <v>0</v>
      </c>
      <c r="X157" s="567"/>
      <c r="Y157" s="532"/>
      <c r="Z157" s="532"/>
      <c r="AA157" s="532"/>
      <c r="AB157" s="532"/>
      <c r="AC157" s="532"/>
      <c r="AD157" s="532"/>
      <c r="AE157" s="532"/>
    </row>
    <row r="158" spans="1:256" s="854" customFormat="1" ht="16.5" customHeight="1">
      <c r="A158" s="1162">
        <f t="shared" ref="A158" si="14">+A156+1</f>
        <v>51</v>
      </c>
      <c r="B158" s="1008" t="s">
        <v>280</v>
      </c>
      <c r="C158" s="1053" t="s">
        <v>463</v>
      </c>
      <c r="D158" s="1014" t="s">
        <v>164</v>
      </c>
      <c r="E158" s="1055">
        <v>1</v>
      </c>
      <c r="F158" s="1164">
        <v>1.31</v>
      </c>
      <c r="G158" s="1165"/>
      <c r="H158" s="1166"/>
      <c r="I158" s="1164">
        <v>0.09</v>
      </c>
      <c r="J158" s="1165"/>
      <c r="K158" s="1166"/>
      <c r="L158" s="336"/>
      <c r="M158" s="898"/>
      <c r="N158" s="539"/>
      <c r="O158" s="539"/>
      <c r="P158" s="466"/>
      <c r="Q158" s="786"/>
      <c r="R158" s="794">
        <f>F159+I159</f>
        <v>3.3515229000000004</v>
      </c>
      <c r="S158" s="987">
        <f>R158+R159</f>
        <v>51.372485400000016</v>
      </c>
      <c r="T158" s="987">
        <f>E158*S158</f>
        <v>51.372485400000016</v>
      </c>
      <c r="U158" s="1166">
        <f>R159*E158</f>
        <v>48.020962500000017</v>
      </c>
      <c r="V158" s="273">
        <f t="shared" si="10"/>
        <v>68.219433203387041</v>
      </c>
      <c r="W158" s="274">
        <f t="shared" si="11"/>
        <v>68.219433203387041</v>
      </c>
      <c r="X158" s="567"/>
      <c r="Y158" s="209"/>
      <c r="Z158" s="209"/>
      <c r="AA158" s="209"/>
      <c r="AB158" s="209"/>
      <c r="AC158" s="209"/>
      <c r="AD158" s="209"/>
      <c r="AE158" s="209"/>
    </row>
    <row r="159" spans="1:256" s="854" customFormat="1" ht="16.5" customHeight="1">
      <c r="A159" s="1163"/>
      <c r="B159" s="1010"/>
      <c r="C159" s="1054"/>
      <c r="D159" s="1016"/>
      <c r="E159" s="1056"/>
      <c r="F159" s="993">
        <f>F158*$J$13/1000</f>
        <v>3.0614700000000004</v>
      </c>
      <c r="G159" s="994"/>
      <c r="H159" s="995"/>
      <c r="I159" s="993">
        <f>I158*$Q$13/1000</f>
        <v>0.29005289999999995</v>
      </c>
      <c r="J159" s="994"/>
      <c r="K159" s="995"/>
      <c r="L159" s="540" t="s">
        <v>375</v>
      </c>
      <c r="M159" s="243" t="s">
        <v>164</v>
      </c>
      <c r="N159" s="541">
        <v>1</v>
      </c>
      <c r="O159" s="542">
        <f>E158*N159</f>
        <v>1</v>
      </c>
      <c r="P159" s="338">
        <f>50/1.2</f>
        <v>41.666666666666671</v>
      </c>
      <c r="Q159" s="245">
        <f>N159*P159*$N$11</f>
        <v>48.020962500000017</v>
      </c>
      <c r="R159" s="794">
        <f>SUM(Q159:Q159)</f>
        <v>48.020962500000017</v>
      </c>
      <c r="S159" s="989"/>
      <c r="T159" s="989"/>
      <c r="U159" s="1167"/>
      <c r="V159" s="273">
        <f t="shared" si="10"/>
        <v>0</v>
      </c>
      <c r="W159" s="274">
        <f t="shared" si="11"/>
        <v>0</v>
      </c>
      <c r="X159" s="567"/>
      <c r="Y159" s="209"/>
      <c r="Z159" s="209"/>
      <c r="AA159" s="209"/>
      <c r="AB159" s="209"/>
      <c r="AC159" s="209"/>
      <c r="AD159" s="209"/>
      <c r="AE159" s="209"/>
    </row>
    <row r="160" spans="1:256" s="694" customFormat="1" ht="12.75" customHeight="1">
      <c r="A160" s="1000">
        <f>+A158+1</f>
        <v>52</v>
      </c>
      <c r="B160" s="1001" t="s">
        <v>191</v>
      </c>
      <c r="C160" s="965" t="s">
        <v>485</v>
      </c>
      <c r="D160" s="966" t="s">
        <v>164</v>
      </c>
      <c r="E160" s="1003">
        <v>1</v>
      </c>
      <c r="F160" s="967"/>
      <c r="G160" s="967"/>
      <c r="H160" s="967"/>
      <c r="I160" s="1004"/>
      <c r="J160" s="1004"/>
      <c r="K160" s="1004"/>
      <c r="L160" s="267"/>
      <c r="M160" s="898"/>
      <c r="N160" s="797"/>
      <c r="O160" s="797"/>
      <c r="P160" s="268"/>
      <c r="Q160" s="801"/>
      <c r="R160" s="788">
        <f>F161+I161</f>
        <v>0</v>
      </c>
      <c r="S160" s="999">
        <f>R160+R161</f>
        <v>4.0337608500000011</v>
      </c>
      <c r="T160" s="999">
        <f>E160*S160</f>
        <v>4.0337608500000011</v>
      </c>
      <c r="U160" s="964">
        <f>R161*E160</f>
        <v>4.0337608500000011</v>
      </c>
      <c r="V160" s="273">
        <f t="shared" si="10"/>
        <v>5.3565809931596711</v>
      </c>
      <c r="W160" s="274">
        <f t="shared" si="11"/>
        <v>5.3565809931596711</v>
      </c>
      <c r="X160" s="567"/>
      <c r="Y160" s="693"/>
      <c r="Z160" s="693"/>
      <c r="AA160" s="693"/>
      <c r="AB160" s="693"/>
      <c r="AC160" s="693"/>
      <c r="AD160" s="693"/>
      <c r="AE160" s="693"/>
      <c r="AF160" s="693"/>
      <c r="AG160" s="693"/>
      <c r="AH160" s="693"/>
      <c r="AI160" s="693"/>
      <c r="AJ160" s="693"/>
      <c r="AK160" s="693"/>
    </row>
    <row r="161" spans="1:39" s="694" customFormat="1" ht="12.75" customHeight="1">
      <c r="A161" s="1000"/>
      <c r="B161" s="1002"/>
      <c r="C161" s="965"/>
      <c r="D161" s="966"/>
      <c r="E161" s="1003"/>
      <c r="F161" s="967"/>
      <c r="G161" s="967"/>
      <c r="H161" s="967"/>
      <c r="I161" s="967"/>
      <c r="J161" s="967"/>
      <c r="K161" s="967"/>
      <c r="L161" s="248" t="s">
        <v>485</v>
      </c>
      <c r="M161" s="243" t="s">
        <v>164</v>
      </c>
      <c r="N161" s="244">
        <v>1</v>
      </c>
      <c r="O161" s="247">
        <f>E160*N161</f>
        <v>1</v>
      </c>
      <c r="P161" s="240">
        <v>3.5</v>
      </c>
      <c r="Q161" s="245">
        <f>N161*P161*$N$11</f>
        <v>4.0337608500000011</v>
      </c>
      <c r="R161" s="788">
        <f>SUM(Q161:Q161)</f>
        <v>4.0337608500000011</v>
      </c>
      <c r="S161" s="999"/>
      <c r="T161" s="999"/>
      <c r="U161" s="964"/>
      <c r="V161" s="273">
        <f t="shared" si="10"/>
        <v>0</v>
      </c>
      <c r="W161" s="274">
        <f t="shared" si="11"/>
        <v>0</v>
      </c>
      <c r="X161" s="567"/>
      <c r="Y161" s="693"/>
      <c r="Z161" s="693"/>
      <c r="AA161" s="693"/>
      <c r="AB161" s="693"/>
      <c r="AC161" s="693"/>
      <c r="AD161" s="693"/>
      <c r="AE161" s="693"/>
      <c r="AF161" s="693"/>
      <c r="AG161" s="693"/>
      <c r="AH161" s="693"/>
      <c r="AI161" s="693"/>
      <c r="AJ161" s="693"/>
      <c r="AK161" s="693"/>
    </row>
    <row r="162" spans="1:39" s="156" customFormat="1" ht="21.75" customHeight="1">
      <c r="A162" s="1291">
        <f>+A160+1</f>
        <v>53</v>
      </c>
      <c r="B162" s="1008" t="s">
        <v>148</v>
      </c>
      <c r="C162" s="1011" t="s">
        <v>428</v>
      </c>
      <c r="D162" s="1014" t="s">
        <v>124</v>
      </c>
      <c r="E162" s="1199">
        <v>6</v>
      </c>
      <c r="F162" s="1293">
        <f>0.001*190</f>
        <v>0.19</v>
      </c>
      <c r="G162" s="1294"/>
      <c r="H162" s="1295"/>
      <c r="I162" s="1293">
        <f>0.001*162</f>
        <v>0.16200000000000001</v>
      </c>
      <c r="J162" s="1294"/>
      <c r="K162" s="1295"/>
      <c r="L162" s="779"/>
      <c r="M162" s="898"/>
      <c r="N162" s="797"/>
      <c r="O162" s="797"/>
      <c r="P162" s="797"/>
      <c r="Q162" s="786"/>
      <c r="R162" s="794">
        <f>F163+I163</f>
        <v>0.96612522000000012</v>
      </c>
      <c r="S162" s="987">
        <f>R162+R163</f>
        <v>2.3491289400000004</v>
      </c>
      <c r="T162" s="987">
        <f>E162*S162</f>
        <v>14.094773640000003</v>
      </c>
      <c r="U162" s="1112">
        <f>R163*E162</f>
        <v>8.2980223200000012</v>
      </c>
      <c r="V162" s="273">
        <f t="shared" si="10"/>
        <v>3.1194956514304324</v>
      </c>
      <c r="W162" s="274">
        <f t="shared" si="11"/>
        <v>18.716973908582595</v>
      </c>
      <c r="X162" s="567"/>
      <c r="Y162" s="239"/>
      <c r="Z162" s="239"/>
    </row>
    <row r="163" spans="1:39" s="156" customFormat="1" ht="21.75" customHeight="1">
      <c r="A163" s="1292"/>
      <c r="B163" s="1010"/>
      <c r="C163" s="1013"/>
      <c r="D163" s="1016"/>
      <c r="E163" s="1200"/>
      <c r="F163" s="993">
        <f>F162*J$13/1000</f>
        <v>0.44403000000000004</v>
      </c>
      <c r="G163" s="994"/>
      <c r="H163" s="995"/>
      <c r="I163" s="993">
        <f>I162*$Q$13/1000</f>
        <v>0.52209522000000008</v>
      </c>
      <c r="J163" s="994"/>
      <c r="K163" s="995"/>
      <c r="L163" s="337" t="s">
        <v>149</v>
      </c>
      <c r="M163" s="243" t="s">
        <v>124</v>
      </c>
      <c r="N163" s="338">
        <v>1</v>
      </c>
      <c r="O163" s="247">
        <f>E162*N163</f>
        <v>6</v>
      </c>
      <c r="P163" s="240">
        <v>1.2</v>
      </c>
      <c r="Q163" s="245">
        <f>N163*P163*$N$11</f>
        <v>1.3830037200000003</v>
      </c>
      <c r="R163" s="794">
        <f>SUM(Q163:Q163)</f>
        <v>1.3830037200000003</v>
      </c>
      <c r="S163" s="989"/>
      <c r="T163" s="989"/>
      <c r="U163" s="1113"/>
      <c r="V163" s="273">
        <f t="shared" si="10"/>
        <v>0</v>
      </c>
      <c r="W163" s="274">
        <f t="shared" si="11"/>
        <v>0</v>
      </c>
      <c r="X163" s="567"/>
      <c r="Y163" s="239"/>
      <c r="Z163" s="239"/>
    </row>
    <row r="164" spans="1:39" s="363" customFormat="1" ht="18.75" customHeight="1">
      <c r="A164" s="1291">
        <f>+A162+1</f>
        <v>54</v>
      </c>
      <c r="B164" s="1008" t="s">
        <v>147</v>
      </c>
      <c r="C164" s="1053" t="s">
        <v>363</v>
      </c>
      <c r="D164" s="1014" t="s">
        <v>122</v>
      </c>
      <c r="E164" s="1199">
        <v>2</v>
      </c>
      <c r="F164" s="1193">
        <f>21.4/100</f>
        <v>0.214</v>
      </c>
      <c r="G164" s="1194"/>
      <c r="H164" s="1195"/>
      <c r="I164" s="1201">
        <f>0.03/100</f>
        <v>2.9999999999999997E-4</v>
      </c>
      <c r="J164" s="1202"/>
      <c r="K164" s="1203"/>
      <c r="L164" s="417"/>
      <c r="M164" s="898"/>
      <c r="N164" s="797"/>
      <c r="O164" s="797"/>
      <c r="P164" s="797"/>
      <c r="Q164" s="786"/>
      <c r="R164" s="794">
        <f>F165+I165</f>
        <v>0.501084843</v>
      </c>
      <c r="S164" s="987">
        <f>R164+R165</f>
        <v>0.89437652587500016</v>
      </c>
      <c r="T164" s="987">
        <f>E164*S164</f>
        <v>1.7887530517500003</v>
      </c>
      <c r="U164" s="1270">
        <f>R165*E164</f>
        <v>0.78658336575000032</v>
      </c>
      <c r="V164" s="273">
        <f t="shared" si="10"/>
        <v>1.1876758383507549</v>
      </c>
      <c r="W164" s="274">
        <f t="shared" si="11"/>
        <v>2.3753516767015097</v>
      </c>
      <c r="X164" s="567"/>
      <c r="Y164" s="239"/>
      <c r="Z164" s="156"/>
      <c r="AA164" s="156"/>
      <c r="AB164" s="156"/>
      <c r="AC164" s="156"/>
      <c r="AD164" s="156"/>
      <c r="AE164" s="156"/>
    </row>
    <row r="165" spans="1:39" s="363" customFormat="1" ht="24" customHeight="1">
      <c r="A165" s="1292"/>
      <c r="B165" s="1010"/>
      <c r="C165" s="1054"/>
      <c r="D165" s="1016"/>
      <c r="E165" s="1200"/>
      <c r="F165" s="993">
        <f>F164*J$13/1000</f>
        <v>0.50011799999999995</v>
      </c>
      <c r="G165" s="994"/>
      <c r="H165" s="995"/>
      <c r="I165" s="1201">
        <f>I164*$Q$13/1000</f>
        <v>9.6684299999999989E-4</v>
      </c>
      <c r="J165" s="1202"/>
      <c r="K165" s="1203"/>
      <c r="L165" s="337" t="s">
        <v>130</v>
      </c>
      <c r="M165" s="243" t="s">
        <v>124</v>
      </c>
      <c r="N165" s="240">
        <f>27.3/100</f>
        <v>0.27300000000000002</v>
      </c>
      <c r="O165" s="340">
        <f>E164*N165</f>
        <v>0.54600000000000004</v>
      </c>
      <c r="P165" s="240">
        <v>1.25</v>
      </c>
      <c r="Q165" s="245">
        <f>N165*P165*$N$11</f>
        <v>0.39329168287500016</v>
      </c>
      <c r="R165" s="784">
        <f>SUM(Q165:Q165)</f>
        <v>0.39329168287500016</v>
      </c>
      <c r="S165" s="989"/>
      <c r="T165" s="989"/>
      <c r="U165" s="1270"/>
      <c r="V165" s="273">
        <f t="shared" si="10"/>
        <v>0</v>
      </c>
      <c r="W165" s="274">
        <f t="shared" si="11"/>
        <v>0</v>
      </c>
      <c r="X165" s="567"/>
      <c r="Y165" s="239"/>
      <c r="Z165" s="156"/>
      <c r="AA165" s="156"/>
      <c r="AB165" s="156"/>
      <c r="AC165" s="156"/>
      <c r="AD165" s="156"/>
      <c r="AE165" s="156"/>
    </row>
    <row r="166" spans="1:39" s="156" customFormat="1" ht="12.95" customHeight="1">
      <c r="A166" s="1005">
        <f>+A164+1</f>
        <v>55</v>
      </c>
      <c r="B166" s="1008" t="s">
        <v>465</v>
      </c>
      <c r="C166" s="1053" t="s">
        <v>466</v>
      </c>
      <c r="D166" s="1014" t="s">
        <v>116</v>
      </c>
      <c r="E166" s="1199">
        <v>14</v>
      </c>
      <c r="F166" s="1193">
        <v>0.14000000000000001</v>
      </c>
      <c r="G166" s="1194"/>
      <c r="H166" s="1195"/>
      <c r="I166" s="1193">
        <v>0.1</v>
      </c>
      <c r="J166" s="1194"/>
      <c r="K166" s="1195"/>
      <c r="L166" s="248"/>
      <c r="M166" s="728"/>
      <c r="N166" s="857"/>
      <c r="O166" s="370"/>
      <c r="P166" s="858"/>
      <c r="Q166" s="792"/>
      <c r="R166" s="794">
        <f>F167+I167</f>
        <v>0.64946100000000007</v>
      </c>
      <c r="S166" s="987">
        <f>R166+R167</f>
        <v>3.9822556345428013</v>
      </c>
      <c r="T166" s="987">
        <f>E166*S166</f>
        <v>55.751578883599215</v>
      </c>
      <c r="U166" s="1017">
        <f>E166*R167</f>
        <v>46.659124883599219</v>
      </c>
      <c r="V166" s="273">
        <f t="shared" si="10"/>
        <v>5.2881853027789116</v>
      </c>
      <c r="W166" s="274">
        <f t="shared" si="11"/>
        <v>74.034594238904759</v>
      </c>
      <c r="X166" s="567"/>
      <c r="Y166" s="859"/>
      <c r="Z166" s="859"/>
      <c r="AA166" s="859"/>
      <c r="AB166" s="158"/>
      <c r="AC166" s="158"/>
      <c r="AD166" s="158"/>
      <c r="AE166" s="158"/>
      <c r="AF166" s="158"/>
      <c r="AG166" s="158"/>
      <c r="AH166" s="158"/>
      <c r="AI166" s="209"/>
      <c r="AJ166" s="209"/>
      <c r="AK166" s="209"/>
      <c r="AL166" s="209"/>
      <c r="AM166" s="209"/>
    </row>
    <row r="167" spans="1:39" s="156" customFormat="1" ht="15.75" customHeight="1">
      <c r="A167" s="1006"/>
      <c r="B167" s="1009"/>
      <c r="C167" s="1286"/>
      <c r="D167" s="1015"/>
      <c r="E167" s="1287"/>
      <c r="F167" s="1164">
        <f>F166*$J$13/1000</f>
        <v>0.32718000000000003</v>
      </c>
      <c r="G167" s="1165"/>
      <c r="H167" s="1166"/>
      <c r="I167" s="1164">
        <f>I166*$Q$13/1000</f>
        <v>0.32228099999999998</v>
      </c>
      <c r="J167" s="1165"/>
      <c r="K167" s="1166"/>
      <c r="L167" s="249" t="s">
        <v>333</v>
      </c>
      <c r="M167" s="250" t="s">
        <v>124</v>
      </c>
      <c r="N167" s="406">
        <v>3.32</v>
      </c>
      <c r="O167" s="252">
        <f>E166*N167</f>
        <v>46.48</v>
      </c>
      <c r="P167" s="236">
        <v>0.8</v>
      </c>
      <c r="Q167" s="253">
        <f>N167*P167*$N$11</f>
        <v>3.0610482336000011</v>
      </c>
      <c r="R167" s="987">
        <f>SUM(Q167:Q169)</f>
        <v>3.3327946345428012</v>
      </c>
      <c r="S167" s="988"/>
      <c r="T167" s="988"/>
      <c r="U167" s="1018"/>
      <c r="V167" s="273">
        <f t="shared" si="10"/>
        <v>0</v>
      </c>
      <c r="W167" s="274">
        <f t="shared" si="11"/>
        <v>0</v>
      </c>
      <c r="X167" s="567"/>
      <c r="Y167" s="859"/>
      <c r="Z167" s="859"/>
      <c r="AA167" s="859"/>
      <c r="AB167" s="158"/>
      <c r="AC167" s="158"/>
      <c r="AD167" s="158"/>
      <c r="AE167" s="158"/>
      <c r="AF167" s="158"/>
      <c r="AG167" s="158"/>
      <c r="AH167" s="158"/>
      <c r="AI167" s="209"/>
      <c r="AJ167" s="209"/>
      <c r="AK167" s="209"/>
      <c r="AL167" s="209"/>
      <c r="AM167" s="209"/>
    </row>
    <row r="168" spans="1:39" s="156" customFormat="1" ht="12.95" customHeight="1">
      <c r="A168" s="1006"/>
      <c r="B168" s="1009"/>
      <c r="C168" s="1286"/>
      <c r="D168" s="1015"/>
      <c r="E168" s="1287"/>
      <c r="F168" s="1288"/>
      <c r="G168" s="1289"/>
      <c r="H168" s="1290"/>
      <c r="I168" s="1288"/>
      <c r="J168" s="1289"/>
      <c r="K168" s="1290"/>
      <c r="L168" s="576" t="s">
        <v>334</v>
      </c>
      <c r="M168" s="260" t="s">
        <v>122</v>
      </c>
      <c r="N168" s="407">
        <v>0.82</v>
      </c>
      <c r="O168" s="261">
        <f>E166*N168</f>
        <v>11.479999999999999</v>
      </c>
      <c r="P168" s="237">
        <f>88.4/1000</f>
        <v>8.8400000000000006E-2</v>
      </c>
      <c r="Q168" s="262">
        <f>N168*P168*$N$11</f>
        <v>8.3542644712800027E-2</v>
      </c>
      <c r="R168" s="988"/>
      <c r="S168" s="988"/>
      <c r="T168" s="988"/>
      <c r="U168" s="1018"/>
      <c r="V168" s="273">
        <f t="shared" si="10"/>
        <v>0</v>
      </c>
      <c r="W168" s="274">
        <f t="shared" si="11"/>
        <v>0</v>
      </c>
      <c r="X168" s="567"/>
      <c r="Y168" s="239"/>
    </row>
    <row r="169" spans="1:39" s="156" customFormat="1" ht="12.95" customHeight="1">
      <c r="A169" s="1007"/>
      <c r="B169" s="1010"/>
      <c r="C169" s="1054"/>
      <c r="D169" s="1016"/>
      <c r="E169" s="1200"/>
      <c r="F169" s="1225"/>
      <c r="G169" s="1226"/>
      <c r="H169" s="1167"/>
      <c r="I169" s="1225"/>
      <c r="J169" s="1226"/>
      <c r="K169" s="1167"/>
      <c r="L169" s="263" t="s">
        <v>335</v>
      </c>
      <c r="M169" s="457" t="s">
        <v>122</v>
      </c>
      <c r="N169" s="408">
        <v>0.71</v>
      </c>
      <c r="O169" s="256">
        <f>E166*N169</f>
        <v>9.94</v>
      </c>
      <c r="P169" s="577">
        <v>0.23</v>
      </c>
      <c r="Q169" s="258">
        <f>N169*P169*$N$11</f>
        <v>0.18820375623000005</v>
      </c>
      <c r="R169" s="989"/>
      <c r="S169" s="989"/>
      <c r="T169" s="989"/>
      <c r="U169" s="1019"/>
      <c r="V169" s="273">
        <f t="shared" si="10"/>
        <v>0</v>
      </c>
      <c r="W169" s="274">
        <f t="shared" si="11"/>
        <v>0</v>
      </c>
      <c r="X169" s="567"/>
      <c r="Y169" s="239"/>
    </row>
    <row r="170" spans="1:39" s="156" customFormat="1" ht="12.95" customHeight="1">
      <c r="A170" s="1005">
        <f>+A166+1</f>
        <v>56</v>
      </c>
      <c r="B170" s="1008" t="s">
        <v>467</v>
      </c>
      <c r="C170" s="1053" t="s">
        <v>468</v>
      </c>
      <c r="D170" s="1014" t="s">
        <v>116</v>
      </c>
      <c r="E170" s="1199">
        <v>4</v>
      </c>
      <c r="F170" s="1193">
        <v>0.14000000000000001</v>
      </c>
      <c r="G170" s="1194"/>
      <c r="H170" s="1195"/>
      <c r="I170" s="1193">
        <v>0.1</v>
      </c>
      <c r="J170" s="1194"/>
      <c r="K170" s="1195"/>
      <c r="L170" s="248"/>
      <c r="M170" s="898"/>
      <c r="N170" s="575"/>
      <c r="O170" s="797"/>
      <c r="P170" s="370"/>
      <c r="Q170" s="786"/>
      <c r="R170" s="794">
        <f>F171+I171</f>
        <v>0.64946100000000007</v>
      </c>
      <c r="S170" s="987">
        <f>R170+R171</f>
        <v>2.9709157242432007</v>
      </c>
      <c r="T170" s="987">
        <f>E170*S170</f>
        <v>11.883662896972803</v>
      </c>
      <c r="U170" s="1017">
        <f>E170*R171</f>
        <v>9.2858188969728026</v>
      </c>
      <c r="V170" s="273">
        <f t="shared" si="10"/>
        <v>3.9451894379807677</v>
      </c>
      <c r="W170" s="274">
        <f t="shared" si="11"/>
        <v>15.780757751923071</v>
      </c>
      <c r="X170" s="567"/>
      <c r="Y170" s="859"/>
      <c r="Z170" s="859"/>
      <c r="AA170" s="859"/>
      <c r="AB170" s="158"/>
      <c r="AC170" s="158"/>
      <c r="AD170" s="158"/>
      <c r="AE170" s="158"/>
      <c r="AF170" s="158"/>
      <c r="AG170" s="158"/>
      <c r="AH170" s="158"/>
      <c r="AI170" s="209"/>
      <c r="AJ170" s="209"/>
      <c r="AK170" s="209"/>
      <c r="AL170" s="209"/>
      <c r="AM170" s="209"/>
    </row>
    <row r="171" spans="1:39" s="156" customFormat="1" ht="15" customHeight="1">
      <c r="A171" s="1006"/>
      <c r="B171" s="1009"/>
      <c r="C171" s="1286"/>
      <c r="D171" s="1015"/>
      <c r="E171" s="1287"/>
      <c r="F171" s="1164">
        <f>F170*$J$13/1000</f>
        <v>0.32718000000000003</v>
      </c>
      <c r="G171" s="1165"/>
      <c r="H171" s="1166"/>
      <c r="I171" s="1164">
        <f>I170*$Q$13/1000</f>
        <v>0.32228099999999998</v>
      </c>
      <c r="J171" s="1165"/>
      <c r="K171" s="1166"/>
      <c r="L171" s="249" t="s">
        <v>333</v>
      </c>
      <c r="M171" s="250" t="s">
        <v>124</v>
      </c>
      <c r="N171" s="406">
        <v>2.31</v>
      </c>
      <c r="O171" s="252">
        <f>E170*N171</f>
        <v>9.24</v>
      </c>
      <c r="P171" s="236">
        <v>0.8</v>
      </c>
      <c r="Q171" s="253">
        <f>N171*P171*$N$11</f>
        <v>2.1298257288000007</v>
      </c>
      <c r="R171" s="987">
        <f>SUM(Q171:Q173)</f>
        <v>2.3214547242432007</v>
      </c>
      <c r="S171" s="988"/>
      <c r="T171" s="988"/>
      <c r="U171" s="1018"/>
      <c r="V171" s="273">
        <f t="shared" si="10"/>
        <v>0</v>
      </c>
      <c r="W171" s="274">
        <f t="shared" si="11"/>
        <v>0</v>
      </c>
      <c r="X171" s="567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</row>
    <row r="172" spans="1:39" s="156" customFormat="1" ht="12.95" customHeight="1">
      <c r="A172" s="1006"/>
      <c r="B172" s="1009"/>
      <c r="C172" s="1286"/>
      <c r="D172" s="1015"/>
      <c r="E172" s="1287"/>
      <c r="F172" s="1288"/>
      <c r="G172" s="1289"/>
      <c r="H172" s="1290"/>
      <c r="I172" s="1288"/>
      <c r="J172" s="1289"/>
      <c r="K172" s="1290"/>
      <c r="L172" s="259" t="s">
        <v>334</v>
      </c>
      <c r="M172" s="260" t="s">
        <v>122</v>
      </c>
      <c r="N172" s="407">
        <v>0.57999999999999996</v>
      </c>
      <c r="O172" s="261">
        <f>E170*N172</f>
        <v>2.3199999999999998</v>
      </c>
      <c r="P172" s="237">
        <f>88.4/1000</f>
        <v>8.8400000000000006E-2</v>
      </c>
      <c r="Q172" s="262">
        <f>N172*P172*$N$11</f>
        <v>5.9091138943200013E-2</v>
      </c>
      <c r="R172" s="988"/>
      <c r="S172" s="988"/>
      <c r="T172" s="988"/>
      <c r="U172" s="1018"/>
      <c r="V172" s="273">
        <f t="shared" si="10"/>
        <v>0</v>
      </c>
      <c r="W172" s="274">
        <f t="shared" si="11"/>
        <v>0</v>
      </c>
      <c r="X172" s="567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</row>
    <row r="173" spans="1:39" s="156" customFormat="1" ht="12.75" customHeight="1">
      <c r="A173" s="1007"/>
      <c r="B173" s="1010"/>
      <c r="C173" s="1054"/>
      <c r="D173" s="1016"/>
      <c r="E173" s="1200"/>
      <c r="F173" s="1225"/>
      <c r="G173" s="1226"/>
      <c r="H173" s="1167"/>
      <c r="I173" s="1225"/>
      <c r="J173" s="1226"/>
      <c r="K173" s="1167"/>
      <c r="L173" s="263" t="s">
        <v>335</v>
      </c>
      <c r="M173" s="254" t="s">
        <v>122</v>
      </c>
      <c r="N173" s="408">
        <v>0.5</v>
      </c>
      <c r="O173" s="256">
        <f>E170*N173</f>
        <v>2</v>
      </c>
      <c r="P173" s="257">
        <v>0.23</v>
      </c>
      <c r="Q173" s="258">
        <f>N173*P173*$N$11</f>
        <v>0.13253785650000005</v>
      </c>
      <c r="R173" s="989"/>
      <c r="S173" s="989"/>
      <c r="T173" s="989"/>
      <c r="U173" s="1019"/>
      <c r="V173" s="273">
        <f t="shared" si="10"/>
        <v>0</v>
      </c>
      <c r="W173" s="274">
        <f t="shared" si="11"/>
        <v>0</v>
      </c>
      <c r="X173" s="567"/>
      <c r="Y173" s="239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</row>
    <row r="174" spans="1:39" s="856" customFormat="1" ht="16.5" customHeight="1">
      <c r="A174" s="1162">
        <f>+A170+1</f>
        <v>57</v>
      </c>
      <c r="B174" s="1168" t="s">
        <v>471</v>
      </c>
      <c r="C174" s="1122" t="s">
        <v>469</v>
      </c>
      <c r="D174" s="1124" t="s">
        <v>164</v>
      </c>
      <c r="E174" s="1170">
        <v>2</v>
      </c>
      <c r="F174" s="1126">
        <f>1.24</f>
        <v>1.24</v>
      </c>
      <c r="G174" s="1127"/>
      <c r="H174" s="1128"/>
      <c r="I174" s="1126">
        <f>0.59</f>
        <v>0.59</v>
      </c>
      <c r="J174" s="1127"/>
      <c r="K174" s="1128"/>
      <c r="L174" s="387"/>
      <c r="M174" s="661"/>
      <c r="N174" s="661"/>
      <c r="O174" s="661"/>
      <c r="P174" s="662"/>
      <c r="Q174" s="389"/>
      <c r="R174" s="531">
        <f>F175+I175</f>
        <v>4.7993379000000003</v>
      </c>
      <c r="S174" s="1118">
        <f>R174+R175</f>
        <v>4.7993379000000003</v>
      </c>
      <c r="T174" s="1118">
        <f>E174*S174</f>
        <v>9.5986758000000005</v>
      </c>
      <c r="U174" s="1120">
        <f>+R175*E174</f>
        <v>0</v>
      </c>
      <c r="V174" s="273">
        <f t="shared" si="10"/>
        <v>6.3732192192035493</v>
      </c>
      <c r="W174" s="274">
        <f t="shared" si="11"/>
        <v>12.746438438407099</v>
      </c>
      <c r="X174" s="567"/>
      <c r="Y174" s="532"/>
      <c r="Z174" s="532"/>
      <c r="AA174" s="532"/>
      <c r="AB174" s="532"/>
      <c r="AC174" s="532"/>
      <c r="AD174" s="532"/>
      <c r="AE174" s="532"/>
    </row>
    <row r="175" spans="1:39" s="856" customFormat="1" ht="16.5" customHeight="1">
      <c r="A175" s="1163"/>
      <c r="B175" s="1169"/>
      <c r="C175" s="1123"/>
      <c r="D175" s="1125"/>
      <c r="E175" s="1171"/>
      <c r="F175" s="1126">
        <f>F174*$J$13/1000</f>
        <v>2.8978800000000002</v>
      </c>
      <c r="G175" s="1127"/>
      <c r="H175" s="1128"/>
      <c r="I175" s="1126">
        <f>I174*$Q$13/1000</f>
        <v>1.9014578999999998</v>
      </c>
      <c r="J175" s="1127"/>
      <c r="K175" s="1128"/>
      <c r="L175" s="390"/>
      <c r="M175" s="509"/>
      <c r="N175" s="509"/>
      <c r="O175" s="509"/>
      <c r="P175" s="391"/>
      <c r="Q175" s="392"/>
      <c r="R175" s="538">
        <f>+Q175</f>
        <v>0</v>
      </c>
      <c r="S175" s="1119"/>
      <c r="T175" s="1119"/>
      <c r="U175" s="1121"/>
      <c r="V175" s="273">
        <f t="shared" si="10"/>
        <v>0</v>
      </c>
      <c r="W175" s="274">
        <f t="shared" si="11"/>
        <v>0</v>
      </c>
      <c r="X175" s="567"/>
      <c r="Y175" s="532"/>
      <c r="Z175" s="532"/>
      <c r="AA175" s="532"/>
      <c r="AB175" s="532"/>
      <c r="AC175" s="532"/>
      <c r="AD175" s="532"/>
      <c r="AE175" s="532"/>
    </row>
    <row r="176" spans="1:39" s="856" customFormat="1" ht="16.5" customHeight="1">
      <c r="A176" s="1162">
        <f t="shared" ref="A176" si="15">+A174+1</f>
        <v>58</v>
      </c>
      <c r="B176" s="1168" t="s">
        <v>470</v>
      </c>
      <c r="C176" s="1122" t="s">
        <v>472</v>
      </c>
      <c r="D176" s="1124" t="s">
        <v>164</v>
      </c>
      <c r="E176" s="1170">
        <v>2</v>
      </c>
      <c r="F176" s="1126">
        <f>1.24*0.6</f>
        <v>0.74399999999999999</v>
      </c>
      <c r="G176" s="1127"/>
      <c r="H176" s="1128"/>
      <c r="I176" s="1126">
        <f>0.59*0.6</f>
        <v>0.35399999999999998</v>
      </c>
      <c r="J176" s="1127"/>
      <c r="K176" s="1128"/>
      <c r="L176" s="387"/>
      <c r="M176" s="661"/>
      <c r="N176" s="661"/>
      <c r="O176" s="661"/>
      <c r="P176" s="662"/>
      <c r="Q176" s="389"/>
      <c r="R176" s="531">
        <f>F177+I177</f>
        <v>2.8796027400000002</v>
      </c>
      <c r="S176" s="1118">
        <f>R176+R177</f>
        <v>2.8796027400000002</v>
      </c>
      <c r="T176" s="1118">
        <f>E176*S176</f>
        <v>5.7592054800000003</v>
      </c>
      <c r="U176" s="1120">
        <f>+R177*E176</f>
        <v>0</v>
      </c>
      <c r="V176" s="273">
        <f t="shared" si="10"/>
        <v>3.8239315315221294</v>
      </c>
      <c r="W176" s="274">
        <f t="shared" si="11"/>
        <v>7.6478630630442588</v>
      </c>
      <c r="X176" s="567"/>
      <c r="Y176" s="532"/>
      <c r="Z176" s="532"/>
      <c r="AA176" s="532"/>
      <c r="AB176" s="532"/>
      <c r="AC176" s="532"/>
      <c r="AD176" s="532"/>
      <c r="AE176" s="532"/>
    </row>
    <row r="177" spans="1:39" s="856" customFormat="1" ht="16.5" customHeight="1">
      <c r="A177" s="1163"/>
      <c r="B177" s="1169"/>
      <c r="C177" s="1123"/>
      <c r="D177" s="1125"/>
      <c r="E177" s="1171"/>
      <c r="F177" s="1126">
        <f>F176*$J$13/1000</f>
        <v>1.7387280000000001</v>
      </c>
      <c r="G177" s="1127"/>
      <c r="H177" s="1128"/>
      <c r="I177" s="1126">
        <f>I176*$Q$13/1000</f>
        <v>1.1408747399999999</v>
      </c>
      <c r="J177" s="1127"/>
      <c r="K177" s="1128"/>
      <c r="L177" s="390"/>
      <c r="M177" s="509"/>
      <c r="N177" s="509"/>
      <c r="O177" s="509"/>
      <c r="P177" s="391"/>
      <c r="Q177" s="392"/>
      <c r="R177" s="538">
        <f>+Q177</f>
        <v>0</v>
      </c>
      <c r="S177" s="1119"/>
      <c r="T177" s="1119"/>
      <c r="U177" s="1121"/>
      <c r="V177" s="273">
        <f t="shared" si="10"/>
        <v>0</v>
      </c>
      <c r="W177" s="274">
        <f t="shared" si="11"/>
        <v>0</v>
      </c>
      <c r="X177" s="567"/>
      <c r="Y177" s="532"/>
      <c r="Z177" s="532"/>
      <c r="AA177" s="532"/>
      <c r="AB177" s="532"/>
      <c r="AC177" s="532"/>
      <c r="AD177" s="532"/>
      <c r="AE177" s="532"/>
    </row>
    <row r="178" spans="1:39" s="723" customFormat="1" ht="14.25" customHeight="1">
      <c r="A178" s="1005">
        <f>+A176+1</f>
        <v>59</v>
      </c>
      <c r="B178" s="1008" t="s">
        <v>481</v>
      </c>
      <c r="C178" s="1197" t="s">
        <v>482</v>
      </c>
      <c r="D178" s="1014" t="s">
        <v>116</v>
      </c>
      <c r="E178" s="1199">
        <v>18</v>
      </c>
      <c r="F178" s="1201">
        <f>29.8/1000</f>
        <v>2.98E-2</v>
      </c>
      <c r="G178" s="1202"/>
      <c r="H178" s="1203"/>
      <c r="I178" s="1204"/>
      <c r="J178" s="1205"/>
      <c r="K178" s="1206"/>
      <c r="L178" s="862"/>
      <c r="M178" s="898"/>
      <c r="N178" s="797"/>
      <c r="O178" s="797"/>
      <c r="P178" s="863"/>
      <c r="Q178" s="786"/>
      <c r="R178" s="794">
        <f>F179+I179</f>
        <v>6.9642599999999999E-2</v>
      </c>
      <c r="S178" s="987">
        <f>R178+R179</f>
        <v>8.6001229001400004E-2</v>
      </c>
      <c r="T178" s="987">
        <f>E178*S178</f>
        <v>1.5480221220252002</v>
      </c>
      <c r="U178" s="1112">
        <f>R179*E178</f>
        <v>0.29445532202520008</v>
      </c>
      <c r="V178" s="273">
        <f t="shared" si="10"/>
        <v>0.11420422920145884</v>
      </c>
      <c r="W178" s="274">
        <f t="shared" si="11"/>
        <v>2.0556761256262592</v>
      </c>
      <c r="X178" s="567"/>
      <c r="Y178" s="209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335"/>
    </row>
    <row r="179" spans="1:39" s="723" customFormat="1" ht="14.25" customHeight="1">
      <c r="A179" s="1007"/>
      <c r="B179" s="1010"/>
      <c r="C179" s="1198"/>
      <c r="D179" s="1016"/>
      <c r="E179" s="1200"/>
      <c r="F179" s="993">
        <f>F178*J$13/1000</f>
        <v>6.9642599999999999E-2</v>
      </c>
      <c r="G179" s="994"/>
      <c r="H179" s="995"/>
      <c r="I179" s="1207">
        <f>I178*$Q$13/1000</f>
        <v>0</v>
      </c>
      <c r="J179" s="1208"/>
      <c r="K179" s="1209"/>
      <c r="L179" s="337" t="s">
        <v>369</v>
      </c>
      <c r="M179" s="243" t="s">
        <v>483</v>
      </c>
      <c r="N179" s="338">
        <v>9.4E-2</v>
      </c>
      <c r="O179" s="247">
        <f>E178*N179</f>
        <v>1.6919999999999999</v>
      </c>
      <c r="P179" s="240">
        <v>0.151</v>
      </c>
      <c r="Q179" s="245">
        <f>N179*P179*$N$11</f>
        <v>1.6358629001400005E-2</v>
      </c>
      <c r="R179" s="794">
        <f>SUM(Q179:Q179)</f>
        <v>1.6358629001400005E-2</v>
      </c>
      <c r="S179" s="989"/>
      <c r="T179" s="989"/>
      <c r="U179" s="1113"/>
      <c r="V179" s="273">
        <f t="shared" si="10"/>
        <v>0</v>
      </c>
      <c r="W179" s="274">
        <f t="shared" si="11"/>
        <v>0</v>
      </c>
      <c r="X179" s="567"/>
      <c r="Y179" s="209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335"/>
    </row>
    <row r="180" spans="1:39" s="860" customFormat="1" ht="15" customHeight="1">
      <c r="A180" s="1227" t="s">
        <v>478</v>
      </c>
      <c r="B180" s="1228"/>
      <c r="C180" s="1229"/>
      <c r="D180" s="1229"/>
      <c r="E180" s="1229"/>
      <c r="F180" s="1230"/>
      <c r="G180" s="870"/>
      <c r="H180" s="665"/>
      <c r="I180" s="665"/>
      <c r="J180" s="665"/>
      <c r="K180" s="665"/>
      <c r="L180" s="666"/>
      <c r="M180" s="665"/>
      <c r="N180" s="665"/>
      <c r="O180" s="665"/>
      <c r="P180" s="665"/>
      <c r="Q180" s="665"/>
      <c r="R180" s="665"/>
      <c r="S180" s="665"/>
      <c r="T180" s="665"/>
      <c r="U180" s="665"/>
      <c r="V180" s="273">
        <f t="shared" si="10"/>
        <v>0</v>
      </c>
      <c r="W180" s="274">
        <f t="shared" si="11"/>
        <v>0</v>
      </c>
      <c r="X180" s="567"/>
      <c r="Y180" s="666"/>
      <c r="Z180" s="666"/>
      <c r="AA180" s="666"/>
      <c r="AB180" s="666"/>
      <c r="AC180" s="666"/>
      <c r="AD180" s="666"/>
      <c r="AE180" s="666"/>
    </row>
    <row r="181" spans="1:39" s="861" customFormat="1" ht="12.75" customHeight="1">
      <c r="A181" s="1231">
        <f>+A178+1</f>
        <v>60</v>
      </c>
      <c r="B181" s="1234" t="s">
        <v>473</v>
      </c>
      <c r="C181" s="1236" t="s">
        <v>474</v>
      </c>
      <c r="D181" s="1231" t="s">
        <v>184</v>
      </c>
      <c r="E181" s="1238">
        <v>1.38</v>
      </c>
      <c r="F181" s="1020">
        <v>5.89</v>
      </c>
      <c r="G181" s="1020"/>
      <c r="H181" s="1020"/>
      <c r="I181" s="1271">
        <v>7.14</v>
      </c>
      <c r="J181" s="1271"/>
      <c r="K181" s="1271"/>
      <c r="L181" s="871"/>
      <c r="M181" s="803"/>
      <c r="N181" s="803"/>
      <c r="O181" s="872"/>
      <c r="P181" s="803"/>
      <c r="Q181" s="793"/>
      <c r="R181" s="790">
        <f>F182+I182</f>
        <v>36.775793399999998</v>
      </c>
      <c r="S181" s="1027">
        <f>R181+R182</f>
        <v>138.96457370712963</v>
      </c>
      <c r="T181" s="1020">
        <f>E181*S181</f>
        <v>191.77111171583888</v>
      </c>
      <c r="U181" s="1144">
        <f>R182*E181</f>
        <v>141.02051682383888</v>
      </c>
      <c r="V181" s="273">
        <f t="shared" si="10"/>
        <v>184.53622361924272</v>
      </c>
      <c r="W181" s="274">
        <f t="shared" si="11"/>
        <v>254.65998859455493</v>
      </c>
      <c r="X181" s="567"/>
      <c r="Y181" s="566"/>
      <c r="Z181" s="566"/>
      <c r="AA181" s="566"/>
      <c r="AB181" s="566"/>
      <c r="AC181" s="566"/>
      <c r="AD181" s="566"/>
      <c r="AE181" s="566"/>
    </row>
    <row r="182" spans="1:39" s="861" customFormat="1" ht="12.75" customHeight="1">
      <c r="A182" s="1232"/>
      <c r="B182" s="1235"/>
      <c r="C182" s="1237"/>
      <c r="D182" s="1232"/>
      <c r="E182" s="1239"/>
      <c r="F182" s="1020">
        <f>F181*J$13/1000</f>
        <v>13.764929999999998</v>
      </c>
      <c r="G182" s="1020"/>
      <c r="H182" s="1020"/>
      <c r="I182" s="1020">
        <f>I181*$Q$13/1000</f>
        <v>23.010863399999998</v>
      </c>
      <c r="J182" s="1020"/>
      <c r="K182" s="1020"/>
      <c r="L182" s="873" t="s">
        <v>475</v>
      </c>
      <c r="M182" s="874" t="s">
        <v>184</v>
      </c>
      <c r="N182" s="874">
        <v>1</v>
      </c>
      <c r="O182" s="875">
        <f>E181*N182</f>
        <v>1.38</v>
      </c>
      <c r="P182" s="876">
        <v>63.1</v>
      </c>
      <c r="Q182" s="877">
        <f>N182*P182*$N$11</f>
        <v>72.722945610000025</v>
      </c>
      <c r="R182" s="1020">
        <f>SUM(Q182:Q184)</f>
        <v>102.18878030712963</v>
      </c>
      <c r="S182" s="1027"/>
      <c r="T182" s="1020"/>
      <c r="U182" s="1144"/>
      <c r="V182" s="273">
        <f t="shared" si="10"/>
        <v>0</v>
      </c>
      <c r="W182" s="274">
        <f t="shared" si="11"/>
        <v>0</v>
      </c>
      <c r="X182" s="567"/>
      <c r="Y182" s="566"/>
      <c r="Z182" s="566"/>
      <c r="AA182" s="566"/>
      <c r="AB182" s="566"/>
      <c r="AC182" s="566"/>
      <c r="AD182" s="566"/>
      <c r="AE182" s="566"/>
    </row>
    <row r="183" spans="1:39" s="861" customFormat="1" ht="12.75" customHeight="1">
      <c r="A183" s="1232"/>
      <c r="B183" s="1235"/>
      <c r="C183" s="1237"/>
      <c r="D183" s="1232"/>
      <c r="E183" s="1239"/>
      <c r="F183" s="1020"/>
      <c r="G183" s="1020"/>
      <c r="H183" s="1020"/>
      <c r="I183" s="1020"/>
      <c r="J183" s="1020"/>
      <c r="K183" s="1020"/>
      <c r="L183" s="878" t="s">
        <v>479</v>
      </c>
      <c r="M183" s="879" t="s">
        <v>184</v>
      </c>
      <c r="N183" s="879">
        <v>0.157</v>
      </c>
      <c r="O183" s="880">
        <f>E181*N183</f>
        <v>0.21665999999999999</v>
      </c>
      <c r="P183" s="881">
        <v>24.7</v>
      </c>
      <c r="Q183" s="882">
        <f>N183*P183*$N$11</f>
        <v>4.4692917714900009</v>
      </c>
      <c r="R183" s="1020"/>
      <c r="S183" s="1027"/>
      <c r="T183" s="1020"/>
      <c r="U183" s="1144"/>
      <c r="V183" s="273">
        <f t="shared" si="10"/>
        <v>0</v>
      </c>
      <c r="W183" s="274">
        <f t="shared" si="11"/>
        <v>0</v>
      </c>
      <c r="X183" s="567"/>
      <c r="Y183" s="566"/>
      <c r="Z183" s="566"/>
      <c r="AA183" s="566"/>
      <c r="AB183" s="566"/>
      <c r="AC183" s="566"/>
      <c r="AD183" s="566"/>
      <c r="AE183" s="566"/>
    </row>
    <row r="184" spans="1:39" s="861" customFormat="1" ht="12.75" customHeight="1">
      <c r="A184" s="1233"/>
      <c r="B184" s="1235"/>
      <c r="C184" s="1237"/>
      <c r="D184" s="1232"/>
      <c r="E184" s="1239"/>
      <c r="F184" s="1020"/>
      <c r="G184" s="1020"/>
      <c r="H184" s="1020"/>
      <c r="I184" s="1020"/>
      <c r="J184" s="1020"/>
      <c r="K184" s="1020"/>
      <c r="L184" s="883" t="s">
        <v>262</v>
      </c>
      <c r="M184" s="884" t="s">
        <v>326</v>
      </c>
      <c r="N184" s="884">
        <v>6.0999999999999999E-2</v>
      </c>
      <c r="O184" s="885">
        <f>E181*N184</f>
        <v>8.4179999999999991E-2</v>
      </c>
      <c r="P184" s="886">
        <v>355.55599999999998</v>
      </c>
      <c r="Q184" s="768">
        <f>N184*P184*$N$11</f>
        <v>24.996542925639606</v>
      </c>
      <c r="R184" s="1020"/>
      <c r="S184" s="1027"/>
      <c r="T184" s="1020"/>
      <c r="U184" s="1144"/>
      <c r="V184" s="273">
        <f t="shared" si="10"/>
        <v>0</v>
      </c>
      <c r="W184" s="274">
        <f t="shared" si="11"/>
        <v>0</v>
      </c>
      <c r="X184" s="567"/>
      <c r="Y184" s="566"/>
      <c r="Z184" s="566"/>
      <c r="AA184" s="566"/>
      <c r="AB184" s="566"/>
      <c r="AC184" s="566"/>
      <c r="AD184" s="566"/>
      <c r="AE184" s="566"/>
    </row>
    <row r="185" spans="1:39" s="744" customFormat="1" ht="12.75" customHeight="1">
      <c r="A185" s="1272">
        <f>+A181+1</f>
        <v>61</v>
      </c>
      <c r="B185" s="1008" t="s">
        <v>476</v>
      </c>
      <c r="C185" s="1011" t="s">
        <v>480</v>
      </c>
      <c r="D185" s="1014" t="s">
        <v>164</v>
      </c>
      <c r="E185" s="1055">
        <v>2</v>
      </c>
      <c r="F185" s="1274"/>
      <c r="G185" s="1275"/>
      <c r="H185" s="1276"/>
      <c r="I185" s="1277"/>
      <c r="J185" s="1278"/>
      <c r="K185" s="1279"/>
      <c r="L185" s="336"/>
      <c r="M185" s="898"/>
      <c r="N185" s="797"/>
      <c r="O185" s="797"/>
      <c r="P185" s="797"/>
      <c r="Q185" s="786"/>
      <c r="R185" s="887">
        <f>F186+I186</f>
        <v>0</v>
      </c>
      <c r="S185" s="987">
        <f>R185+R186</f>
        <v>57.625155000000014</v>
      </c>
      <c r="T185" s="987">
        <f>E185*S185</f>
        <v>115.25031000000003</v>
      </c>
      <c r="U185" s="1112">
        <f>R186*E185</f>
        <v>115.25031000000003</v>
      </c>
      <c r="V185" s="273">
        <f t="shared" si="10"/>
        <v>76.52258561656673</v>
      </c>
      <c r="W185" s="274">
        <f t="shared" si="11"/>
        <v>153.04517123313346</v>
      </c>
      <c r="X185" s="567"/>
      <c r="Y185" s="239"/>
      <c r="Z185" s="156"/>
      <c r="AA185" s="156"/>
      <c r="AB185" s="156"/>
      <c r="AC185" s="156"/>
      <c r="AD185" s="156"/>
      <c r="AE185" s="156"/>
    </row>
    <row r="186" spans="1:39" s="744" customFormat="1" ht="12.75" customHeight="1">
      <c r="A186" s="1273"/>
      <c r="B186" s="1010"/>
      <c r="C186" s="1013"/>
      <c r="D186" s="1016"/>
      <c r="E186" s="1056"/>
      <c r="F186" s="1280"/>
      <c r="G186" s="1281"/>
      <c r="H186" s="1282"/>
      <c r="I186" s="1283"/>
      <c r="J186" s="1284"/>
      <c r="K186" s="1285"/>
      <c r="L186" s="357" t="s">
        <v>480</v>
      </c>
      <c r="M186" s="243" t="s">
        <v>164</v>
      </c>
      <c r="N186" s="338">
        <v>1</v>
      </c>
      <c r="O186" s="247">
        <f>E185*N186</f>
        <v>2</v>
      </c>
      <c r="P186" s="338">
        <v>50</v>
      </c>
      <c r="Q186" s="245">
        <f>N186*P186*$N$11</f>
        <v>57.625155000000014</v>
      </c>
      <c r="R186" s="784">
        <f>SUM(Q186:Q186)</f>
        <v>57.625155000000014</v>
      </c>
      <c r="S186" s="989"/>
      <c r="T186" s="989"/>
      <c r="U186" s="1113"/>
      <c r="V186" s="273">
        <f t="shared" si="10"/>
        <v>0</v>
      </c>
      <c r="W186" s="274">
        <f t="shared" si="11"/>
        <v>0</v>
      </c>
      <c r="X186" s="567"/>
      <c r="Y186" s="239"/>
      <c r="Z186" s="156"/>
      <c r="AA186" s="156"/>
      <c r="AB186" s="156"/>
      <c r="AC186" s="156"/>
      <c r="AD186" s="156"/>
      <c r="AE186" s="156"/>
    </row>
    <row r="187" spans="1:39" s="569" customFormat="1" ht="18.75" customHeight="1">
      <c r="A187" s="1240">
        <f>+A185+1</f>
        <v>62</v>
      </c>
      <c r="B187" s="1135" t="s">
        <v>345</v>
      </c>
      <c r="C187" s="1137" t="s">
        <v>346</v>
      </c>
      <c r="D187" s="984" t="s">
        <v>326</v>
      </c>
      <c r="E187" s="1243">
        <f>17.9/1000</f>
        <v>1.7899999999999999E-2</v>
      </c>
      <c r="F187" s="1246">
        <v>13.8</v>
      </c>
      <c r="G187" s="1247"/>
      <c r="H187" s="1248"/>
      <c r="I187" s="1249">
        <v>32.1</v>
      </c>
      <c r="J187" s="1250"/>
      <c r="K187" s="1251"/>
      <c r="L187" s="339"/>
      <c r="M187" s="898"/>
      <c r="N187" s="466"/>
      <c r="O187" s="797"/>
      <c r="P187" s="797"/>
      <c r="Q187" s="786"/>
      <c r="R187" s="650">
        <f>F188+I188</f>
        <v>135.70280100000002</v>
      </c>
      <c r="S187" s="1252">
        <f>R187+R188</f>
        <v>673.51929461748</v>
      </c>
      <c r="T187" s="1252">
        <f>E187*S187</f>
        <v>12.055995373652891</v>
      </c>
      <c r="U187" s="1255">
        <f>R188*E187</f>
        <v>9.6269152357528913</v>
      </c>
      <c r="V187" s="273">
        <f t="shared" si="10"/>
        <v>894.39131030147746</v>
      </c>
      <c r="W187" s="274">
        <f t="shared" si="11"/>
        <v>16.009604454396445</v>
      </c>
      <c r="X187" s="567"/>
      <c r="Y187" s="637"/>
      <c r="Z187" s="637"/>
      <c r="AA187" s="637"/>
      <c r="AB187" s="637"/>
      <c r="AC187" s="637"/>
      <c r="AD187" s="637"/>
      <c r="AE187" s="637"/>
      <c r="AF187" s="637"/>
      <c r="AG187" s="637"/>
      <c r="AH187" s="637"/>
      <c r="AI187" s="637"/>
      <c r="AJ187" s="637"/>
      <c r="AK187" s="637"/>
    </row>
    <row r="188" spans="1:39" s="569" customFormat="1" ht="23.25" customHeight="1">
      <c r="A188" s="1241"/>
      <c r="B188" s="1136"/>
      <c r="C188" s="1138"/>
      <c r="D188" s="985"/>
      <c r="E188" s="1244"/>
      <c r="F188" s="1258">
        <f>F187*J$13/1000</f>
        <v>32.250600000000006</v>
      </c>
      <c r="G188" s="1259"/>
      <c r="H188" s="1260"/>
      <c r="I188" s="1258">
        <f>I187*$Q$13/1000</f>
        <v>103.452201</v>
      </c>
      <c r="J188" s="1259"/>
      <c r="K188" s="1260"/>
      <c r="L188" s="342" t="s">
        <v>347</v>
      </c>
      <c r="M188" s="250" t="s">
        <v>326</v>
      </c>
      <c r="N188" s="265">
        <v>1</v>
      </c>
      <c r="O188" s="340">
        <f>E187*N188</f>
        <v>1.7899999999999999E-2</v>
      </c>
      <c r="P188" s="341">
        <v>450</v>
      </c>
      <c r="Q188" s="233">
        <f>N188*P188*$N$11</f>
        <v>518.62639500000012</v>
      </c>
      <c r="R188" s="1252">
        <f>SUM(Q188:Q191)</f>
        <v>537.81649361747998</v>
      </c>
      <c r="S188" s="1253"/>
      <c r="T188" s="1253"/>
      <c r="U188" s="1256"/>
      <c r="V188" s="273">
        <f t="shared" si="10"/>
        <v>0</v>
      </c>
      <c r="W188" s="274">
        <f t="shared" si="11"/>
        <v>0</v>
      </c>
      <c r="X188" s="567"/>
      <c r="Y188" s="637"/>
      <c r="Z188" s="637"/>
      <c r="AA188" s="637"/>
      <c r="AB188" s="637"/>
      <c r="AC188" s="637"/>
      <c r="AD188" s="637"/>
      <c r="AE188" s="637"/>
      <c r="AF188" s="637"/>
      <c r="AG188" s="637"/>
      <c r="AH188" s="637"/>
      <c r="AI188" s="637"/>
      <c r="AJ188" s="637"/>
      <c r="AK188" s="637"/>
    </row>
    <row r="189" spans="1:39" s="569" customFormat="1" ht="12.75" customHeight="1">
      <c r="A189" s="1241"/>
      <c r="B189" s="1136"/>
      <c r="C189" s="1138"/>
      <c r="D189" s="985"/>
      <c r="E189" s="1244"/>
      <c r="F189" s="1261"/>
      <c r="G189" s="1262"/>
      <c r="H189" s="1263"/>
      <c r="I189" s="1261"/>
      <c r="J189" s="1262"/>
      <c r="K189" s="1263"/>
      <c r="L189" s="651" t="s">
        <v>348</v>
      </c>
      <c r="M189" s="260" t="s">
        <v>124</v>
      </c>
      <c r="N189" s="407">
        <v>1</v>
      </c>
      <c r="O189" s="261">
        <f>E187*N189</f>
        <v>1.7899999999999999E-2</v>
      </c>
      <c r="P189" s="237">
        <v>0.45</v>
      </c>
      <c r="Q189" s="262">
        <f>N189*P189*$N$11</f>
        <v>0.51862639500000018</v>
      </c>
      <c r="R189" s="1253"/>
      <c r="S189" s="1253"/>
      <c r="T189" s="1253"/>
      <c r="U189" s="1256"/>
      <c r="V189" s="273">
        <f t="shared" si="10"/>
        <v>0</v>
      </c>
      <c r="W189" s="274">
        <f t="shared" si="11"/>
        <v>0</v>
      </c>
      <c r="X189" s="567"/>
      <c r="Y189" s="637"/>
      <c r="Z189" s="637"/>
      <c r="AA189" s="637"/>
      <c r="AB189" s="637"/>
      <c r="AC189" s="637"/>
      <c r="AD189" s="637"/>
      <c r="AE189" s="637"/>
      <c r="AF189" s="637"/>
      <c r="AG189" s="637"/>
      <c r="AH189" s="637"/>
      <c r="AI189" s="637"/>
      <c r="AJ189" s="637"/>
      <c r="AK189" s="637"/>
    </row>
    <row r="190" spans="1:39" s="569" customFormat="1" ht="12.75" customHeight="1">
      <c r="A190" s="1241"/>
      <c r="B190" s="1136"/>
      <c r="C190" s="1138"/>
      <c r="D190" s="985"/>
      <c r="E190" s="1244"/>
      <c r="F190" s="1261"/>
      <c r="G190" s="1262"/>
      <c r="H190" s="1263"/>
      <c r="I190" s="1261"/>
      <c r="J190" s="1262"/>
      <c r="K190" s="1263"/>
      <c r="L190" s="652" t="s">
        <v>349</v>
      </c>
      <c r="M190" s="653" t="s">
        <v>124</v>
      </c>
      <c r="N190" s="654">
        <v>13.4</v>
      </c>
      <c r="O190" s="655">
        <f>E187*N190</f>
        <v>0.23985999999999999</v>
      </c>
      <c r="P190" s="656">
        <v>1</v>
      </c>
      <c r="Q190" s="657">
        <f>N190*P190*$N$11</f>
        <v>15.443541540000005</v>
      </c>
      <c r="R190" s="1253"/>
      <c r="S190" s="1253"/>
      <c r="T190" s="1253"/>
      <c r="U190" s="1256"/>
      <c r="V190" s="273">
        <f t="shared" si="10"/>
        <v>0</v>
      </c>
      <c r="W190" s="274">
        <f t="shared" si="11"/>
        <v>0</v>
      </c>
      <c r="X190" s="567"/>
      <c r="Y190" s="637"/>
      <c r="Z190" s="637"/>
      <c r="AA190" s="637"/>
      <c r="AB190" s="637"/>
      <c r="AC190" s="637"/>
      <c r="AD190" s="637"/>
      <c r="AE190" s="637"/>
      <c r="AF190" s="637"/>
      <c r="AG190" s="637"/>
      <c r="AH190" s="637"/>
      <c r="AI190" s="637"/>
      <c r="AJ190" s="637"/>
      <c r="AK190" s="637"/>
    </row>
    <row r="191" spans="1:39" s="569" customFormat="1" ht="12.75" customHeight="1">
      <c r="A191" s="1242"/>
      <c r="B191" s="1211"/>
      <c r="C191" s="1139"/>
      <c r="D191" s="986"/>
      <c r="E191" s="1245"/>
      <c r="F191" s="1264"/>
      <c r="G191" s="1265"/>
      <c r="H191" s="1266"/>
      <c r="I191" s="1264"/>
      <c r="J191" s="1265"/>
      <c r="K191" s="1266"/>
      <c r="L191" s="343" t="s">
        <v>190</v>
      </c>
      <c r="M191" s="457" t="s">
        <v>124</v>
      </c>
      <c r="N191" s="467">
        <v>2.4</v>
      </c>
      <c r="O191" s="256">
        <f>E187*N191</f>
        <v>4.2959999999999998E-2</v>
      </c>
      <c r="P191" s="658">
        <v>1.167</v>
      </c>
      <c r="Q191" s="258">
        <f>N191*P191*$N$11</f>
        <v>3.2279306824800011</v>
      </c>
      <c r="R191" s="1254"/>
      <c r="S191" s="1254"/>
      <c r="T191" s="1254"/>
      <c r="U191" s="1257"/>
      <c r="V191" s="273">
        <f t="shared" si="10"/>
        <v>0</v>
      </c>
      <c r="W191" s="274">
        <f t="shared" si="11"/>
        <v>0</v>
      </c>
      <c r="X191" s="567"/>
      <c r="Y191" s="637"/>
      <c r="Z191" s="637"/>
      <c r="AA191" s="637"/>
      <c r="AB191" s="637"/>
      <c r="AC191" s="637"/>
      <c r="AD191" s="637"/>
      <c r="AE191" s="637"/>
      <c r="AF191" s="637"/>
      <c r="AG191" s="637"/>
      <c r="AH191" s="637"/>
      <c r="AI191" s="637"/>
      <c r="AJ191" s="637"/>
      <c r="AK191" s="637"/>
    </row>
    <row r="192" spans="1:39" s="156" customFormat="1" ht="12" customHeight="1">
      <c r="A192" s="1005">
        <f>+A187+1</f>
        <v>63</v>
      </c>
      <c r="B192" s="1008" t="s">
        <v>360</v>
      </c>
      <c r="C192" s="1011" t="s">
        <v>477</v>
      </c>
      <c r="D192" s="1014" t="s">
        <v>326</v>
      </c>
      <c r="E192" s="1267">
        <v>5.8000000000000003E-2</v>
      </c>
      <c r="F192" s="993">
        <v>19.399999999999999</v>
      </c>
      <c r="G192" s="994"/>
      <c r="H192" s="995"/>
      <c r="I192" s="993">
        <v>4</v>
      </c>
      <c r="J192" s="994"/>
      <c r="K192" s="995"/>
      <c r="L192" s="339"/>
      <c r="M192" s="898"/>
      <c r="N192" s="797"/>
      <c r="O192" s="785"/>
      <c r="P192" s="797"/>
      <c r="Q192" s="786"/>
      <c r="R192" s="794">
        <f>F193+I193</f>
        <v>58.229039999999998</v>
      </c>
      <c r="S192" s="987">
        <f>R192+R193</f>
        <v>599.9054970000002</v>
      </c>
      <c r="T192" s="1027">
        <f>E192*S192</f>
        <v>34.794518826000015</v>
      </c>
      <c r="U192" s="1270">
        <f>R193*E192</f>
        <v>31.41723450600001</v>
      </c>
      <c r="V192" s="273">
        <f t="shared" si="10"/>
        <v>796.63681175402508</v>
      </c>
      <c r="W192" s="274">
        <f t="shared" si="11"/>
        <v>46.20493508173346</v>
      </c>
      <c r="X192" s="567"/>
      <c r="Y192" s="239"/>
    </row>
    <row r="193" spans="1:256" s="156" customFormat="1" ht="13.5" customHeight="1">
      <c r="A193" s="1006"/>
      <c r="B193" s="1009"/>
      <c r="C193" s="1012"/>
      <c r="D193" s="1015"/>
      <c r="E193" s="1268"/>
      <c r="F193" s="1164">
        <f>F192*J$13/1000</f>
        <v>45.337799999999994</v>
      </c>
      <c r="G193" s="1165"/>
      <c r="H193" s="1166"/>
      <c r="I193" s="1164">
        <f>I192*$Q$13/1000</f>
        <v>12.89124</v>
      </c>
      <c r="J193" s="1165"/>
      <c r="K193" s="1166"/>
      <c r="L193" s="890" t="s">
        <v>348</v>
      </c>
      <c r="M193" s="250" t="s">
        <v>326</v>
      </c>
      <c r="N193" s="891">
        <v>1</v>
      </c>
      <c r="O193" s="265">
        <f>E192*N193</f>
        <v>5.8000000000000003E-2</v>
      </c>
      <c r="P193" s="250">
        <v>450</v>
      </c>
      <c r="Q193" s="233">
        <f>N193*P193*$N$11</f>
        <v>518.62639500000012</v>
      </c>
      <c r="R193" s="987">
        <f>SUM(Q193:Q194)</f>
        <v>541.67645700000014</v>
      </c>
      <c r="S193" s="988"/>
      <c r="T193" s="1027"/>
      <c r="U193" s="1270"/>
      <c r="V193" s="273">
        <f t="shared" si="10"/>
        <v>0</v>
      </c>
      <c r="W193" s="274">
        <f t="shared" si="11"/>
        <v>0</v>
      </c>
      <c r="X193" s="567"/>
      <c r="Y193" s="239"/>
    </row>
    <row r="194" spans="1:256" s="569" customFormat="1" ht="12.75" customHeight="1">
      <c r="A194" s="1007"/>
      <c r="B194" s="1010"/>
      <c r="C194" s="1013"/>
      <c r="D194" s="1016"/>
      <c r="E194" s="1269"/>
      <c r="F194" s="1225"/>
      <c r="G194" s="1226"/>
      <c r="H194" s="1167"/>
      <c r="I194" s="1225"/>
      <c r="J194" s="1226"/>
      <c r="K194" s="1167"/>
      <c r="L194" s="892" t="s">
        <v>190</v>
      </c>
      <c r="M194" s="893" t="s">
        <v>124</v>
      </c>
      <c r="N194" s="894">
        <v>20</v>
      </c>
      <c r="O194" s="895">
        <f>E192*N194</f>
        <v>1.1600000000000001</v>
      </c>
      <c r="P194" s="896">
        <v>1</v>
      </c>
      <c r="Q194" s="897">
        <f>N194*P194*$N$11</f>
        <v>23.050062000000008</v>
      </c>
      <c r="R194" s="989"/>
      <c r="S194" s="989"/>
      <c r="T194" s="1027"/>
      <c r="U194" s="1270"/>
      <c r="V194" s="273">
        <f t="shared" si="10"/>
        <v>0</v>
      </c>
      <c r="W194" s="274">
        <f t="shared" si="11"/>
        <v>0</v>
      </c>
      <c r="X194" s="567"/>
      <c r="Y194" s="637"/>
      <c r="Z194" s="637"/>
      <c r="AA194" s="637"/>
      <c r="AB194" s="637"/>
      <c r="AC194" s="637"/>
      <c r="AD194" s="637"/>
      <c r="AE194" s="637"/>
      <c r="AF194" s="637"/>
      <c r="AG194" s="637"/>
      <c r="AH194" s="637"/>
      <c r="AI194" s="637"/>
      <c r="AJ194" s="637"/>
      <c r="AK194" s="637"/>
    </row>
    <row r="195" spans="1:256" s="711" customFormat="1" ht="12.75" customHeight="1">
      <c r="A195" s="1149">
        <f>+A192+1</f>
        <v>64</v>
      </c>
      <c r="B195" s="1217" t="s">
        <v>432</v>
      </c>
      <c r="C195" s="1218" t="s">
        <v>433</v>
      </c>
      <c r="D195" s="1014" t="s">
        <v>122</v>
      </c>
      <c r="E195" s="987">
        <v>2.5</v>
      </c>
      <c r="F195" s="1193">
        <f>4.1/100</f>
        <v>4.0999999999999995E-2</v>
      </c>
      <c r="G195" s="1194"/>
      <c r="H195" s="1195"/>
      <c r="I195" s="1193">
        <f>0.4/100</f>
        <v>4.0000000000000001E-3</v>
      </c>
      <c r="J195" s="1194"/>
      <c r="K195" s="1195"/>
      <c r="L195" s="266"/>
      <c r="M195" s="898"/>
      <c r="N195" s="705"/>
      <c r="O195" s="705"/>
      <c r="P195" s="705"/>
      <c r="Q195" s="706"/>
      <c r="R195" s="707">
        <f>F196+I196</f>
        <v>0.10870824</v>
      </c>
      <c r="S195" s="1219">
        <f>R195+R196</f>
        <v>0.20514286976000001</v>
      </c>
      <c r="T195" s="1219">
        <f>E195*S195</f>
        <v>0.5128571744</v>
      </c>
      <c r="U195" s="1222">
        <f>+R196*E195</f>
        <v>0.24108657440000009</v>
      </c>
      <c r="V195" s="273">
        <f t="shared" si="10"/>
        <v>0.27241684321435311</v>
      </c>
      <c r="W195" s="274">
        <f t="shared" si="11"/>
        <v>0.68104210803588283</v>
      </c>
      <c r="X195" s="567"/>
      <c r="Y195" s="209"/>
      <c r="Z195" s="209"/>
      <c r="AA195" s="209"/>
      <c r="AB195" s="209"/>
      <c r="AC195" s="209"/>
      <c r="AD195" s="209"/>
      <c r="AE195" s="667"/>
      <c r="AF195" s="667"/>
      <c r="AG195" s="667"/>
      <c r="AH195" s="667"/>
      <c r="AI195" s="667"/>
      <c r="AJ195" s="667"/>
      <c r="AK195" s="667"/>
      <c r="AL195" s="710"/>
    </row>
    <row r="196" spans="1:256" s="711" customFormat="1" ht="12.75" customHeight="1">
      <c r="A196" s="1149"/>
      <c r="B196" s="1217"/>
      <c r="C196" s="1218"/>
      <c r="D196" s="1015"/>
      <c r="E196" s="988"/>
      <c r="F196" s="1164">
        <f>F195*J$13/1000</f>
        <v>9.5816999999999999E-2</v>
      </c>
      <c r="G196" s="1165"/>
      <c r="H196" s="1166"/>
      <c r="I196" s="1164">
        <f>I195*$Q$13/1000</f>
        <v>1.289124E-2</v>
      </c>
      <c r="J196" s="1165"/>
      <c r="K196" s="1166"/>
      <c r="L196" s="342" t="s">
        <v>128</v>
      </c>
      <c r="M196" s="250" t="s">
        <v>124</v>
      </c>
      <c r="N196" s="712">
        <v>0.03</v>
      </c>
      <c r="O196" s="713">
        <f>E195*N196</f>
        <v>7.4999999999999997E-2</v>
      </c>
      <c r="P196" s="341">
        <f>0.542*2</f>
        <v>1.0840000000000001</v>
      </c>
      <c r="Q196" s="714">
        <f>N196*P196*$N$11</f>
        <v>3.7479400812000012E-2</v>
      </c>
      <c r="R196" s="1219">
        <f>SUM(Q196:Q197)</f>
        <v>9.6434629760000029E-2</v>
      </c>
      <c r="S196" s="1220"/>
      <c r="T196" s="1220"/>
      <c r="U196" s="1223"/>
      <c r="V196" s="273">
        <f t="shared" si="10"/>
        <v>0</v>
      </c>
      <c r="W196" s="274">
        <f t="shared" si="11"/>
        <v>0</v>
      </c>
      <c r="X196" s="567"/>
      <c r="Y196" s="209"/>
      <c r="Z196" s="209"/>
      <c r="AA196" s="209"/>
      <c r="AB196" s="209"/>
      <c r="AC196" s="209"/>
      <c r="AD196" s="209"/>
      <c r="AE196" s="667"/>
      <c r="AF196" s="667"/>
      <c r="AG196" s="667"/>
      <c r="AH196" s="667"/>
      <c r="AI196" s="667"/>
      <c r="AJ196" s="667"/>
      <c r="AK196" s="667"/>
      <c r="AL196" s="710"/>
    </row>
    <row r="197" spans="1:256" s="711" customFormat="1" ht="12.75" customHeight="1">
      <c r="A197" s="1149"/>
      <c r="B197" s="1217"/>
      <c r="C197" s="1218"/>
      <c r="D197" s="1016"/>
      <c r="E197" s="989"/>
      <c r="F197" s="1225"/>
      <c r="G197" s="1226"/>
      <c r="H197" s="1167"/>
      <c r="I197" s="1225"/>
      <c r="J197" s="1226"/>
      <c r="K197" s="1167"/>
      <c r="L197" s="343" t="s">
        <v>435</v>
      </c>
      <c r="M197" s="254" t="s">
        <v>124</v>
      </c>
      <c r="N197" s="715">
        <f>17.2/100</f>
        <v>0.17199999999999999</v>
      </c>
      <c r="O197" s="716">
        <f>E195*N197</f>
        <v>0.42999999999999994</v>
      </c>
      <c r="P197" s="355">
        <f>0.803/2.7</f>
        <v>0.2974074074074074</v>
      </c>
      <c r="Q197" s="717">
        <f>N197*P197*$N$11</f>
        <v>5.895522894800001E-2</v>
      </c>
      <c r="R197" s="1221"/>
      <c r="S197" s="1221"/>
      <c r="T197" s="1221"/>
      <c r="U197" s="1224"/>
      <c r="V197" s="273">
        <f t="shared" si="10"/>
        <v>0</v>
      </c>
      <c r="W197" s="274">
        <f t="shared" si="11"/>
        <v>0</v>
      </c>
      <c r="X197" s="567"/>
      <c r="Y197" s="209"/>
      <c r="Z197" s="209"/>
      <c r="AA197" s="209"/>
      <c r="AB197" s="209"/>
      <c r="AC197" s="209"/>
      <c r="AD197" s="209"/>
      <c r="AE197" s="667"/>
      <c r="AF197" s="667"/>
      <c r="AG197" s="667"/>
      <c r="AH197" s="667"/>
      <c r="AI197" s="667"/>
      <c r="AJ197" s="667"/>
      <c r="AK197" s="667"/>
      <c r="AL197" s="710"/>
    </row>
    <row r="198" spans="1:256" s="721" customFormat="1" ht="12.75" customHeight="1">
      <c r="A198" s="1133">
        <f>+A195+1</f>
        <v>65</v>
      </c>
      <c r="B198" s="1135" t="s">
        <v>362</v>
      </c>
      <c r="C198" s="1137" t="s">
        <v>363</v>
      </c>
      <c r="D198" s="1140" t="s">
        <v>122</v>
      </c>
      <c r="E198" s="1142">
        <f>+E195</f>
        <v>2.5</v>
      </c>
      <c r="F198" s="1148">
        <v>0.38400000000000001</v>
      </c>
      <c r="G198" s="1148"/>
      <c r="H198" s="1148"/>
      <c r="I198" s="1214">
        <f>0.03/100</f>
        <v>2.9999999999999997E-4</v>
      </c>
      <c r="J198" s="1215"/>
      <c r="K198" s="1216"/>
      <c r="L198" s="339"/>
      <c r="M198" s="898"/>
      <c r="N198" s="466"/>
      <c r="O198" s="797"/>
      <c r="P198" s="797"/>
      <c r="Q198" s="786"/>
      <c r="R198" s="790">
        <f>F199+I199</f>
        <v>0.89837484300000003</v>
      </c>
      <c r="S198" s="1020">
        <f>R198+R199</f>
        <v>1.2786904934721002</v>
      </c>
      <c r="T198" s="1020">
        <f>E198*S198</f>
        <v>3.1967262336802502</v>
      </c>
      <c r="U198" s="1144">
        <f>R199*E198</f>
        <v>0.95078912618025035</v>
      </c>
      <c r="V198" s="273">
        <f t="shared" si="10"/>
        <v>1.6980206433077485</v>
      </c>
      <c r="W198" s="274">
        <f t="shared" si="11"/>
        <v>4.245051608269371</v>
      </c>
      <c r="X198" s="567"/>
      <c r="Y198" s="209"/>
      <c r="Z198" s="209"/>
      <c r="AA198" s="209"/>
      <c r="AB198" s="209"/>
      <c r="AC198" s="209"/>
      <c r="AD198" s="209"/>
      <c r="AE198" s="667"/>
      <c r="AF198" s="667"/>
      <c r="AG198" s="667"/>
      <c r="AH198" s="667"/>
      <c r="AI198" s="667"/>
      <c r="AJ198" s="667"/>
      <c r="AK198" s="667"/>
    </row>
    <row r="199" spans="1:256" s="721" customFormat="1" ht="12.75" customHeight="1">
      <c r="A199" s="1134"/>
      <c r="B199" s="1136"/>
      <c r="C199" s="1138"/>
      <c r="D199" s="1141"/>
      <c r="E199" s="1143"/>
      <c r="F199" s="1148">
        <f>F198*J$13/1000</f>
        <v>0.89740799999999998</v>
      </c>
      <c r="G199" s="1148"/>
      <c r="H199" s="1148"/>
      <c r="I199" s="1148">
        <f>I198*$Q$13/1000</f>
        <v>9.6684299999999989E-4</v>
      </c>
      <c r="J199" s="1148"/>
      <c r="K199" s="1148"/>
      <c r="L199" s="342" t="s">
        <v>130</v>
      </c>
      <c r="M199" s="250" t="s">
        <v>124</v>
      </c>
      <c r="N199" s="265">
        <v>0.246</v>
      </c>
      <c r="O199" s="340">
        <f>E198*N199</f>
        <v>0.61499999999999999</v>
      </c>
      <c r="P199" s="341">
        <v>1.25</v>
      </c>
      <c r="Q199" s="233">
        <f>N199*P199*$N$11</f>
        <v>0.35439470325000011</v>
      </c>
      <c r="R199" s="1020">
        <f>SUM(Q199:Q200)</f>
        <v>0.38031565047210014</v>
      </c>
      <c r="S199" s="1020"/>
      <c r="T199" s="1020"/>
      <c r="U199" s="1144"/>
      <c r="V199" s="273">
        <f t="shared" si="10"/>
        <v>0</v>
      </c>
      <c r="W199" s="274">
        <f t="shared" si="11"/>
        <v>0</v>
      </c>
      <c r="X199" s="567"/>
      <c r="Y199" s="209"/>
      <c r="Z199" s="209"/>
      <c r="AA199" s="209"/>
      <c r="AB199" s="209"/>
      <c r="AC199" s="209"/>
      <c r="AD199" s="209"/>
      <c r="AE199" s="667"/>
      <c r="AF199" s="667"/>
      <c r="AG199" s="667"/>
      <c r="AH199" s="667"/>
      <c r="AI199" s="667"/>
      <c r="AJ199" s="667"/>
      <c r="AK199" s="667"/>
    </row>
    <row r="200" spans="1:256" s="721" customFormat="1" ht="12.75" customHeight="1">
      <c r="A200" s="1210"/>
      <c r="B200" s="1211"/>
      <c r="C200" s="1139"/>
      <c r="D200" s="1212"/>
      <c r="E200" s="1213"/>
      <c r="F200" s="1148"/>
      <c r="G200" s="1148"/>
      <c r="H200" s="1148"/>
      <c r="I200" s="1148"/>
      <c r="J200" s="1148"/>
      <c r="K200" s="1148"/>
      <c r="L200" s="343" t="s">
        <v>365</v>
      </c>
      <c r="M200" s="457" t="s">
        <v>124</v>
      </c>
      <c r="N200" s="467">
        <v>2.7E-2</v>
      </c>
      <c r="O200" s="256">
        <f>E198*N200</f>
        <v>6.7500000000000004E-2</v>
      </c>
      <c r="P200" s="355">
        <v>0.83299999999999996</v>
      </c>
      <c r="Q200" s="258">
        <f>N200*P200*$N$11</f>
        <v>2.5920947222100005E-2</v>
      </c>
      <c r="R200" s="1020"/>
      <c r="S200" s="1020"/>
      <c r="T200" s="1020"/>
      <c r="U200" s="1144"/>
      <c r="V200" s="273">
        <f t="shared" si="10"/>
        <v>0</v>
      </c>
      <c r="W200" s="274">
        <f t="shared" si="11"/>
        <v>0</v>
      </c>
      <c r="X200" s="567"/>
      <c r="Y200" s="209"/>
      <c r="Z200" s="209"/>
      <c r="AA200" s="209"/>
      <c r="AB200" s="209"/>
      <c r="AC200" s="209"/>
      <c r="AD200" s="209"/>
      <c r="AE200" s="667"/>
      <c r="AF200" s="667"/>
      <c r="AG200" s="667"/>
      <c r="AH200" s="667"/>
      <c r="AI200" s="667"/>
      <c r="AJ200" s="667"/>
      <c r="AK200" s="667"/>
    </row>
    <row r="201" spans="1:256" s="564" customFormat="1" ht="14.25" customHeight="1">
      <c r="B201" s="771"/>
      <c r="C201" s="831" t="s">
        <v>512</v>
      </c>
      <c r="D201" s="664"/>
      <c r="E201" s="664"/>
      <c r="F201" s="778"/>
      <c r="G201" s="665"/>
      <c r="H201" s="665"/>
      <c r="I201" s="665"/>
      <c r="J201" s="665"/>
      <c r="K201" s="665"/>
      <c r="L201" s="671"/>
      <c r="M201" s="665"/>
      <c r="N201" s="665"/>
      <c r="O201" s="665"/>
      <c r="P201" s="665"/>
      <c r="Q201" s="665"/>
      <c r="R201" s="665"/>
      <c r="S201" s="665"/>
      <c r="T201" s="672"/>
      <c r="U201" s="665"/>
      <c r="V201" s="273">
        <f t="shared" si="10"/>
        <v>0</v>
      </c>
      <c r="W201" s="274">
        <f t="shared" si="11"/>
        <v>0</v>
      </c>
      <c r="X201" s="567"/>
      <c r="Y201" s="666"/>
      <c r="Z201" s="666"/>
      <c r="AA201" s="666"/>
      <c r="AB201" s="666"/>
      <c r="AC201" s="666"/>
      <c r="AD201" s="666"/>
      <c r="AE201" s="666"/>
      <c r="AF201" s="666"/>
      <c r="AG201" s="666"/>
      <c r="AH201" s="666"/>
      <c r="AI201" s="666"/>
      <c r="AJ201" s="666"/>
      <c r="AK201" s="666"/>
      <c r="AL201" s="563"/>
      <c r="AM201" s="563"/>
      <c r="AN201" s="563"/>
      <c r="AO201" s="563"/>
      <c r="AP201" s="563"/>
      <c r="AQ201" s="563"/>
      <c r="AR201" s="563"/>
      <c r="AS201" s="563"/>
      <c r="AT201" s="563"/>
      <c r="AU201" s="563"/>
      <c r="AV201" s="563"/>
      <c r="AW201" s="563"/>
      <c r="AX201" s="563"/>
      <c r="AY201" s="563"/>
      <c r="AZ201" s="563"/>
      <c r="BA201" s="563"/>
      <c r="BB201" s="563"/>
      <c r="BC201" s="563"/>
      <c r="BD201" s="563"/>
      <c r="BE201" s="563"/>
      <c r="BF201" s="563"/>
      <c r="BG201" s="563"/>
      <c r="BH201" s="563"/>
      <c r="BI201" s="563"/>
      <c r="BJ201" s="563"/>
      <c r="BK201" s="563"/>
      <c r="BL201" s="563"/>
      <c r="BM201" s="563"/>
      <c r="BN201" s="563"/>
      <c r="BO201" s="563"/>
      <c r="BP201" s="563"/>
      <c r="BQ201" s="563"/>
      <c r="BR201" s="563"/>
      <c r="BS201" s="563"/>
      <c r="BT201" s="563"/>
      <c r="BU201" s="563"/>
      <c r="BV201" s="563"/>
      <c r="BW201" s="563"/>
      <c r="BX201" s="563"/>
      <c r="BY201" s="563"/>
      <c r="BZ201" s="563"/>
      <c r="CA201" s="563"/>
      <c r="CB201" s="563"/>
      <c r="CC201" s="563"/>
      <c r="CD201" s="563"/>
      <c r="CE201" s="563"/>
      <c r="CF201" s="563"/>
      <c r="CG201" s="563"/>
      <c r="CH201" s="563"/>
      <c r="CI201" s="563"/>
      <c r="CJ201" s="563"/>
      <c r="CK201" s="563"/>
      <c r="CL201" s="563"/>
      <c r="CM201" s="563"/>
      <c r="CN201" s="563"/>
      <c r="CO201" s="563"/>
      <c r="CP201" s="563"/>
      <c r="CQ201" s="563"/>
      <c r="CR201" s="563"/>
      <c r="CS201" s="563"/>
      <c r="CT201" s="563"/>
      <c r="CU201" s="563"/>
      <c r="CV201" s="563"/>
      <c r="CW201" s="563"/>
      <c r="CX201" s="563"/>
      <c r="CY201" s="563"/>
      <c r="CZ201" s="563"/>
      <c r="DA201" s="563"/>
      <c r="DB201" s="563"/>
      <c r="DC201" s="563"/>
      <c r="DD201" s="563"/>
      <c r="DE201" s="563"/>
      <c r="DF201" s="563"/>
      <c r="DG201" s="563"/>
      <c r="DH201" s="563"/>
      <c r="DI201" s="563"/>
      <c r="DJ201" s="563"/>
      <c r="DK201" s="563"/>
      <c r="DL201" s="563"/>
      <c r="DM201" s="563"/>
      <c r="DN201" s="563"/>
      <c r="DO201" s="563"/>
      <c r="DP201" s="563"/>
      <c r="DQ201" s="563"/>
      <c r="DR201" s="563"/>
      <c r="DS201" s="563"/>
      <c r="DT201" s="563"/>
      <c r="DU201" s="563"/>
      <c r="DV201" s="563"/>
      <c r="DW201" s="563"/>
      <c r="DX201" s="563"/>
      <c r="DY201" s="563"/>
      <c r="DZ201" s="563"/>
      <c r="EA201" s="563"/>
      <c r="EB201" s="563"/>
      <c r="EC201" s="563"/>
      <c r="ED201" s="563"/>
      <c r="EE201" s="563"/>
      <c r="EF201" s="563"/>
      <c r="EG201" s="563"/>
      <c r="EH201" s="563"/>
      <c r="EI201" s="563"/>
      <c r="EJ201" s="563"/>
      <c r="EK201" s="563"/>
      <c r="EL201" s="563"/>
      <c r="EM201" s="563"/>
      <c r="EN201" s="563"/>
      <c r="EO201" s="563"/>
      <c r="EP201" s="563"/>
      <c r="EQ201" s="563"/>
      <c r="ER201" s="563"/>
      <c r="ES201" s="563"/>
      <c r="ET201" s="563"/>
      <c r="EU201" s="563"/>
      <c r="EV201" s="563"/>
      <c r="EW201" s="563"/>
      <c r="EX201" s="563"/>
      <c r="EY201" s="563"/>
      <c r="EZ201" s="563"/>
      <c r="FA201" s="563"/>
      <c r="FB201" s="563"/>
      <c r="FC201" s="563"/>
      <c r="FD201" s="563"/>
      <c r="FE201" s="563"/>
      <c r="FF201" s="563"/>
      <c r="FG201" s="563"/>
      <c r="FH201" s="563"/>
      <c r="FI201" s="563"/>
      <c r="FJ201" s="563"/>
      <c r="FK201" s="563"/>
      <c r="FL201" s="563"/>
      <c r="FM201" s="563"/>
      <c r="FN201" s="563"/>
      <c r="FO201" s="563"/>
      <c r="FP201" s="563"/>
      <c r="FQ201" s="563"/>
      <c r="FR201" s="563"/>
      <c r="FS201" s="563"/>
      <c r="FT201" s="563"/>
      <c r="FU201" s="563"/>
      <c r="FV201" s="563"/>
      <c r="FW201" s="563"/>
      <c r="FX201" s="563"/>
      <c r="FY201" s="563"/>
      <c r="FZ201" s="563"/>
      <c r="GA201" s="563"/>
      <c r="GB201" s="563"/>
      <c r="GC201" s="563"/>
      <c r="GD201" s="563"/>
      <c r="GE201" s="563"/>
      <c r="GF201" s="563"/>
      <c r="GG201" s="563"/>
      <c r="GH201" s="563"/>
      <c r="GI201" s="563"/>
      <c r="GJ201" s="563"/>
      <c r="GK201" s="563"/>
      <c r="GL201" s="563"/>
      <c r="GM201" s="563"/>
      <c r="GN201" s="563"/>
      <c r="GO201" s="563"/>
      <c r="GP201" s="563"/>
      <c r="GQ201" s="563"/>
      <c r="GR201" s="563"/>
      <c r="GS201" s="563"/>
      <c r="GT201" s="563"/>
      <c r="GU201" s="563"/>
      <c r="GV201" s="563"/>
      <c r="GW201" s="563"/>
      <c r="GX201" s="563"/>
      <c r="GY201" s="563"/>
      <c r="GZ201" s="563"/>
      <c r="HA201" s="563"/>
      <c r="HB201" s="563"/>
      <c r="HC201" s="563"/>
      <c r="HD201" s="563"/>
      <c r="HE201" s="563"/>
      <c r="HF201" s="563"/>
      <c r="HG201" s="563"/>
      <c r="HH201" s="563"/>
      <c r="HI201" s="563"/>
      <c r="HJ201" s="563"/>
      <c r="HK201" s="563"/>
      <c r="HL201" s="563"/>
      <c r="HM201" s="563"/>
      <c r="HN201" s="563"/>
      <c r="HO201" s="563"/>
      <c r="HP201" s="563"/>
      <c r="HQ201" s="563"/>
      <c r="HR201" s="563"/>
      <c r="HS201" s="563"/>
      <c r="HT201" s="563"/>
      <c r="HU201" s="563"/>
      <c r="HV201" s="563"/>
      <c r="HW201" s="563"/>
      <c r="HX201" s="563"/>
      <c r="HY201" s="563"/>
      <c r="HZ201" s="563"/>
      <c r="IA201" s="563"/>
      <c r="IB201" s="563"/>
      <c r="IC201" s="563"/>
      <c r="ID201" s="563"/>
      <c r="IE201" s="563"/>
      <c r="IF201" s="563"/>
      <c r="IG201" s="563"/>
      <c r="IH201" s="563"/>
      <c r="II201" s="563"/>
      <c r="IJ201" s="563"/>
      <c r="IK201" s="563"/>
      <c r="IL201" s="563"/>
      <c r="IM201" s="563"/>
      <c r="IN201" s="563"/>
      <c r="IO201" s="563"/>
      <c r="IP201" s="563"/>
      <c r="IQ201" s="563"/>
      <c r="IR201" s="563"/>
      <c r="IS201" s="563"/>
      <c r="IT201" s="563"/>
      <c r="IU201" s="563"/>
      <c r="IV201" s="563"/>
    </row>
    <row r="202" spans="1:256" s="410" customFormat="1" ht="14.25" customHeight="1">
      <c r="A202" s="1005">
        <f>+A198+1</f>
        <v>66</v>
      </c>
      <c r="B202" s="1008" t="s">
        <v>188</v>
      </c>
      <c r="C202" s="1188" t="s">
        <v>499</v>
      </c>
      <c r="D202" s="1189" t="s">
        <v>124</v>
      </c>
      <c r="E202" s="1189">
        <f>4*16*2.5</f>
        <v>160</v>
      </c>
      <c r="F202" s="1190">
        <f>0.001*14.8</f>
        <v>1.4800000000000001E-2</v>
      </c>
      <c r="G202" s="1191"/>
      <c r="H202" s="1192"/>
      <c r="I202" s="1193">
        <f>0.001*4.98</f>
        <v>4.9800000000000009E-3</v>
      </c>
      <c r="J202" s="1194"/>
      <c r="K202" s="1195"/>
      <c r="L202" s="660"/>
      <c r="M202" s="898"/>
      <c r="N202" s="404"/>
      <c r="O202" s="797"/>
      <c r="P202" s="558"/>
      <c r="Q202" s="786"/>
      <c r="R202" s="790">
        <f>F203+I203</f>
        <v>5.0637193800000008E-2</v>
      </c>
      <c r="S202" s="1020">
        <f>R202+R203</f>
        <v>0.49319838420000006</v>
      </c>
      <c r="T202" s="1020">
        <f>E202*S202</f>
        <v>78.911741472000017</v>
      </c>
      <c r="U202" s="1196">
        <f>R203*E202</f>
        <v>70.809790464000017</v>
      </c>
      <c r="V202" s="273">
        <f t="shared" si="10"/>
        <v>0.65493646968753261</v>
      </c>
      <c r="W202" s="274">
        <f t="shared" si="11"/>
        <v>104.78983515000522</v>
      </c>
      <c r="X202" s="567"/>
      <c r="Y202" s="156"/>
      <c r="Z202" s="156"/>
      <c r="AA202" s="156"/>
      <c r="AB202" s="158"/>
      <c r="AC202" s="158"/>
      <c r="AD202" s="158"/>
      <c r="AE202" s="158"/>
      <c r="AF202" s="409"/>
      <c r="AG202" s="409"/>
      <c r="AH202" s="409"/>
      <c r="AI202" s="409"/>
      <c r="AJ202" s="409"/>
      <c r="AK202" s="409"/>
      <c r="AL202" s="409"/>
    </row>
    <row r="203" spans="1:256" s="410" customFormat="1" ht="14.25" customHeight="1">
      <c r="A203" s="1006"/>
      <c r="B203" s="1009"/>
      <c r="C203" s="1188"/>
      <c r="D203" s="1189"/>
      <c r="E203" s="1189"/>
      <c r="F203" s="1020">
        <f>F202*J$13/1000</f>
        <v>3.4587600000000003E-2</v>
      </c>
      <c r="G203" s="1020"/>
      <c r="H203" s="1020"/>
      <c r="I203" s="1020">
        <f>I202*$Q$13/1000</f>
        <v>1.6049593800000005E-2</v>
      </c>
      <c r="J203" s="1020"/>
      <c r="K203" s="1020"/>
      <c r="L203" s="249" t="s">
        <v>189</v>
      </c>
      <c r="M203" s="250" t="s">
        <v>124</v>
      </c>
      <c r="N203" s="406">
        <v>1</v>
      </c>
      <c r="O203" s="252">
        <f>E202*N203</f>
        <v>160</v>
      </c>
      <c r="P203" s="236">
        <f>1.52/4</f>
        <v>0.38</v>
      </c>
      <c r="Q203" s="253">
        <f>N203*P203*$N$11</f>
        <v>0.43795117800000011</v>
      </c>
      <c r="R203" s="1020">
        <f>SUM(Q203:Q204)</f>
        <v>0.44256119040000008</v>
      </c>
      <c r="S203" s="1020"/>
      <c r="T203" s="1020"/>
      <c r="U203" s="1196"/>
      <c r="V203" s="273">
        <f t="shared" si="10"/>
        <v>0</v>
      </c>
      <c r="W203" s="274">
        <f t="shared" si="11"/>
        <v>0</v>
      </c>
      <c r="X203" s="567"/>
      <c r="Y203" s="156"/>
      <c r="Z203" s="156"/>
      <c r="AA203" s="156"/>
      <c r="AB203" s="158"/>
      <c r="AC203" s="158"/>
      <c r="AD203" s="158"/>
      <c r="AE203" s="158"/>
      <c r="AF203" s="409"/>
      <c r="AG203" s="409"/>
      <c r="AH203" s="409"/>
      <c r="AI203" s="409"/>
      <c r="AJ203" s="409"/>
      <c r="AK203" s="409"/>
      <c r="AL203" s="409"/>
    </row>
    <row r="204" spans="1:256" s="410" customFormat="1" ht="13.5" customHeight="1">
      <c r="A204" s="1007"/>
      <c r="B204" s="1010"/>
      <c r="C204" s="1188"/>
      <c r="D204" s="1189"/>
      <c r="E204" s="1189"/>
      <c r="F204" s="1020"/>
      <c r="G204" s="1020"/>
      <c r="H204" s="1020"/>
      <c r="I204" s="1020"/>
      <c r="J204" s="1020"/>
      <c r="K204" s="1020"/>
      <c r="L204" s="259" t="s">
        <v>190</v>
      </c>
      <c r="M204" s="260" t="s">
        <v>124</v>
      </c>
      <c r="N204" s="407">
        <v>4.0000000000000001E-3</v>
      </c>
      <c r="O204" s="237">
        <f>E202*N204</f>
        <v>0.64</v>
      </c>
      <c r="P204" s="411">
        <v>1</v>
      </c>
      <c r="Q204" s="412">
        <f t="shared" ref="Q204" si="16">N204*P204*$N$11</f>
        <v>4.6100124000000011E-3</v>
      </c>
      <c r="R204" s="1020"/>
      <c r="S204" s="1020"/>
      <c r="T204" s="1020"/>
      <c r="U204" s="1196"/>
      <c r="V204" s="273">
        <f t="shared" si="10"/>
        <v>0</v>
      </c>
      <c r="W204" s="274">
        <f t="shared" si="11"/>
        <v>0</v>
      </c>
      <c r="X204" s="567"/>
      <c r="Y204" s="156"/>
      <c r="Z204" s="156"/>
      <c r="AA204" s="156"/>
      <c r="AB204" s="158"/>
      <c r="AC204" s="158"/>
      <c r="AD204" s="158"/>
      <c r="AE204" s="158"/>
      <c r="AF204" s="409"/>
      <c r="AG204" s="409"/>
      <c r="AH204" s="409"/>
      <c r="AI204" s="409"/>
      <c r="AJ204" s="409"/>
      <c r="AK204" s="409"/>
      <c r="AL204" s="409"/>
    </row>
    <row r="205" spans="1:256" s="482" customFormat="1" ht="12.75" customHeight="1">
      <c r="A205" s="1095">
        <f>+A202+1</f>
        <v>67</v>
      </c>
      <c r="B205" s="1097" t="s">
        <v>211</v>
      </c>
      <c r="C205" s="1108" t="s">
        <v>501</v>
      </c>
      <c r="D205" s="1101" t="s">
        <v>180</v>
      </c>
      <c r="E205" s="1178">
        <v>4</v>
      </c>
      <c r="F205" s="1052">
        <f>0.01*194</f>
        <v>1.94</v>
      </c>
      <c r="G205" s="1052"/>
      <c r="H205" s="1052"/>
      <c r="I205" s="1052"/>
      <c r="J205" s="1052"/>
      <c r="K205" s="1052"/>
      <c r="L205" s="903"/>
      <c r="M205" s="668"/>
      <c r="N205" s="669"/>
      <c r="O205" s="669"/>
      <c r="P205" s="662"/>
      <c r="Q205" s="507"/>
      <c r="R205" s="1044">
        <f>F206+I206</f>
        <v>4.5337800000000001</v>
      </c>
      <c r="S205" s="1044">
        <f>R205+R206</f>
        <v>4.5337800000000001</v>
      </c>
      <c r="T205" s="1044">
        <f>E205*S205</f>
        <v>18.135120000000001</v>
      </c>
      <c r="U205" s="1105"/>
      <c r="V205" s="273">
        <f t="shared" si="10"/>
        <v>6.0205750113240972</v>
      </c>
      <c r="W205" s="274">
        <f t="shared" si="11"/>
        <v>24.082300045296389</v>
      </c>
      <c r="X205" s="567"/>
      <c r="Y205" s="242"/>
      <c r="Z205" s="567"/>
      <c r="AA205" s="567"/>
      <c r="AB205" s="567"/>
      <c r="AC205" s="567"/>
      <c r="AD205" s="567"/>
      <c r="AE205" s="567"/>
    </row>
    <row r="206" spans="1:256" s="482" customFormat="1" ht="14.25" customHeight="1">
      <c r="A206" s="1107"/>
      <c r="B206" s="1098"/>
      <c r="C206" s="1109"/>
      <c r="D206" s="1102"/>
      <c r="E206" s="1179"/>
      <c r="F206" s="1052">
        <f>F205*$J$13/1000</f>
        <v>4.5337800000000001</v>
      </c>
      <c r="G206" s="1052"/>
      <c r="H206" s="1052"/>
      <c r="I206" s="1052"/>
      <c r="J206" s="1052"/>
      <c r="K206" s="1052"/>
      <c r="L206" s="904"/>
      <c r="M206" s="401"/>
      <c r="N206" s="402"/>
      <c r="O206" s="402"/>
      <c r="P206" s="391"/>
      <c r="Q206" s="403"/>
      <c r="R206" s="1045"/>
      <c r="S206" s="1045"/>
      <c r="T206" s="1045"/>
      <c r="U206" s="1185"/>
      <c r="V206" s="273">
        <f t="shared" si="10"/>
        <v>0</v>
      </c>
      <c r="W206" s="274">
        <f t="shared" si="11"/>
        <v>0</v>
      </c>
      <c r="X206" s="567"/>
      <c r="Y206" s="242"/>
      <c r="Z206" s="567"/>
      <c r="AA206" s="567"/>
      <c r="AB206" s="567"/>
      <c r="AC206" s="567"/>
      <c r="AD206" s="567"/>
      <c r="AE206" s="567"/>
    </row>
    <row r="207" spans="1:256" s="745" customFormat="1" ht="12.75" customHeight="1">
      <c r="A207" s="1021">
        <f>+A205+1</f>
        <v>68</v>
      </c>
      <c r="B207" s="1022" t="s">
        <v>490</v>
      </c>
      <c r="C207" s="983" t="s">
        <v>503</v>
      </c>
      <c r="D207" s="984" t="s">
        <v>180</v>
      </c>
      <c r="E207" s="996">
        <v>4</v>
      </c>
      <c r="F207" s="1153">
        <v>2.4500000000000002</v>
      </c>
      <c r="G207" s="1153"/>
      <c r="H207" s="1153"/>
      <c r="I207" s="1175">
        <v>0.37</v>
      </c>
      <c r="J207" s="1175"/>
      <c r="K207" s="1175"/>
      <c r="L207" s="688"/>
      <c r="M207" s="689"/>
      <c r="N207" s="689"/>
      <c r="O207" s="690"/>
      <c r="P207" s="691"/>
      <c r="Q207" s="795"/>
      <c r="R207" s="795">
        <f>F208+I208</f>
        <v>6.9180897000000012</v>
      </c>
      <c r="S207" s="997">
        <f>R207+R208</f>
        <v>51.028932958237583</v>
      </c>
      <c r="T207" s="997">
        <f>E207*S207</f>
        <v>204.11573183295033</v>
      </c>
      <c r="U207" s="982">
        <f>R208*E207</f>
        <v>176.44337303295032</v>
      </c>
      <c r="V207" s="273">
        <f t="shared" si="10"/>
        <v>67.763217143950044</v>
      </c>
      <c r="W207" s="274">
        <f t="shared" si="11"/>
        <v>271.05286857580018</v>
      </c>
      <c r="X207" s="567"/>
      <c r="Y207" s="694"/>
      <c r="Z207" s="694"/>
      <c r="AA207" s="694"/>
      <c r="AB207" s="694"/>
      <c r="AC207" s="694"/>
      <c r="AD207" s="694"/>
      <c r="AE207" s="694"/>
    </row>
    <row r="208" spans="1:256" s="745" customFormat="1" ht="12.75" customHeight="1">
      <c r="A208" s="1021"/>
      <c r="B208" s="1022"/>
      <c r="C208" s="983"/>
      <c r="D208" s="985"/>
      <c r="E208" s="996"/>
      <c r="F208" s="997">
        <f>F207*J$13/1000</f>
        <v>5.7256500000000008</v>
      </c>
      <c r="G208" s="997"/>
      <c r="H208" s="997"/>
      <c r="I208" s="997">
        <f>I207*$Q$13/1000</f>
        <v>1.1924397</v>
      </c>
      <c r="J208" s="997"/>
      <c r="K208" s="997"/>
      <c r="L208" s="905" t="s">
        <v>504</v>
      </c>
      <c r="M208" s="906" t="s">
        <v>184</v>
      </c>
      <c r="N208" s="689">
        <v>1.02</v>
      </c>
      <c r="O208" s="690">
        <f>E207*N208</f>
        <v>4.08</v>
      </c>
      <c r="P208" s="770">
        <v>29.856000000000002</v>
      </c>
      <c r="Q208" s="702">
        <f>N208*P208*$N$11</f>
        <v>35.097315204672014</v>
      </c>
      <c r="R208" s="997">
        <f>SUM(Q208:Q210)</f>
        <v>44.11084325823758</v>
      </c>
      <c r="S208" s="997"/>
      <c r="T208" s="997"/>
      <c r="U208" s="982"/>
      <c r="V208" s="273">
        <f t="shared" si="10"/>
        <v>0</v>
      </c>
      <c r="W208" s="274">
        <f t="shared" si="11"/>
        <v>0</v>
      </c>
      <c r="X208" s="567"/>
      <c r="Y208" s="694"/>
      <c r="Z208" s="694"/>
      <c r="AA208" s="694"/>
      <c r="AB208" s="694"/>
      <c r="AC208" s="694"/>
      <c r="AD208" s="694"/>
      <c r="AE208" s="694"/>
    </row>
    <row r="209" spans="1:38" s="745" customFormat="1" ht="12.75" customHeight="1">
      <c r="A209" s="1021"/>
      <c r="B209" s="1022"/>
      <c r="C209" s="983"/>
      <c r="D209" s="985"/>
      <c r="E209" s="996"/>
      <c r="F209" s="997"/>
      <c r="G209" s="997"/>
      <c r="H209" s="997"/>
      <c r="I209" s="997"/>
      <c r="J209" s="997"/>
      <c r="K209" s="997"/>
      <c r="L209" s="905" t="s">
        <v>185</v>
      </c>
      <c r="M209" s="906" t="s">
        <v>186</v>
      </c>
      <c r="N209" s="689">
        <v>1.61</v>
      </c>
      <c r="O209" s="690">
        <f>E207*N209</f>
        <v>6.44</v>
      </c>
      <c r="P209" s="770">
        <v>3.5</v>
      </c>
      <c r="Q209" s="702">
        <f>N209*P209*$N$11</f>
        <v>6.4943549685000024</v>
      </c>
      <c r="R209" s="997"/>
      <c r="S209" s="997"/>
      <c r="T209" s="997"/>
      <c r="U209" s="982"/>
      <c r="V209" s="273">
        <f t="shared" si="10"/>
        <v>0</v>
      </c>
      <c r="W209" s="274">
        <f t="shared" si="11"/>
        <v>0</v>
      </c>
      <c r="X209" s="567"/>
      <c r="Y209" s="694"/>
      <c r="Z209" s="694"/>
      <c r="AA209" s="694"/>
      <c r="AB209" s="694"/>
      <c r="AC209" s="694"/>
      <c r="AD209" s="694"/>
      <c r="AE209" s="694"/>
    </row>
    <row r="210" spans="1:38" s="745" customFormat="1" ht="12.75" customHeight="1">
      <c r="A210" s="1021"/>
      <c r="B210" s="1022"/>
      <c r="C210" s="983"/>
      <c r="D210" s="986"/>
      <c r="E210" s="996"/>
      <c r="F210" s="997"/>
      <c r="G210" s="997"/>
      <c r="H210" s="997"/>
      <c r="I210" s="997"/>
      <c r="J210" s="997"/>
      <c r="K210" s="997"/>
      <c r="L210" s="905" t="s">
        <v>187</v>
      </c>
      <c r="M210" s="906" t="s">
        <v>184</v>
      </c>
      <c r="N210" s="689">
        <v>1.72E-2</v>
      </c>
      <c r="O210" s="690">
        <f>E207*N210</f>
        <v>6.88E-2</v>
      </c>
      <c r="P210" s="742">
        <v>127.083</v>
      </c>
      <c r="Q210" s="702">
        <f>N210*P210*$N$11</f>
        <v>2.5191730850655607</v>
      </c>
      <c r="R210" s="997"/>
      <c r="S210" s="997"/>
      <c r="T210" s="997"/>
      <c r="U210" s="982"/>
      <c r="V210" s="273">
        <f t="shared" si="10"/>
        <v>0</v>
      </c>
      <c r="W210" s="274">
        <f t="shared" si="11"/>
        <v>0</v>
      </c>
      <c r="X210" s="567"/>
      <c r="Y210" s="694"/>
      <c r="Z210" s="694"/>
      <c r="AA210" s="694"/>
      <c r="AB210" s="694"/>
      <c r="AC210" s="694"/>
      <c r="AD210" s="694"/>
      <c r="AE210" s="694"/>
    </row>
    <row r="211" spans="1:38" s="914" customFormat="1" ht="12.75" customHeight="1">
      <c r="A211" s="1095">
        <f>+A207+1</f>
        <v>69</v>
      </c>
      <c r="B211" s="1097" t="s">
        <v>181</v>
      </c>
      <c r="C211" s="1108" t="s">
        <v>502</v>
      </c>
      <c r="D211" s="1101" t="s">
        <v>180</v>
      </c>
      <c r="E211" s="1178">
        <v>4</v>
      </c>
      <c r="F211" s="1052">
        <f>0.01*56.2</f>
        <v>0.56200000000000006</v>
      </c>
      <c r="G211" s="1052"/>
      <c r="H211" s="1052"/>
      <c r="I211" s="1426"/>
      <c r="J211" s="1426"/>
      <c r="K211" s="1426"/>
      <c r="L211" s="903"/>
      <c r="M211" s="662"/>
      <c r="N211" s="662"/>
      <c r="O211" s="662"/>
      <c r="P211" s="662"/>
      <c r="Q211" s="389"/>
      <c r="R211" s="1044">
        <f>F212+I212</f>
        <v>1.3133940000000002</v>
      </c>
      <c r="S211" s="1044">
        <f>R211+R212</f>
        <v>1.3133940000000002</v>
      </c>
      <c r="T211" s="1044">
        <f>E211*S211</f>
        <v>5.2535760000000007</v>
      </c>
      <c r="U211" s="799"/>
      <c r="V211" s="273">
        <f t="shared" si="10"/>
        <v>1.7441047197753312</v>
      </c>
      <c r="W211" s="274">
        <f t="shared" si="11"/>
        <v>6.9764188791013249</v>
      </c>
      <c r="X211" s="567"/>
      <c r="Y211" s="932"/>
      <c r="Z211" s="933"/>
      <c r="AA211" s="932"/>
      <c r="AB211" s="398"/>
      <c r="AC211" s="398"/>
      <c r="AD211" s="398"/>
      <c r="AE211" s="398"/>
      <c r="AF211" s="915"/>
      <c r="AG211" s="915"/>
      <c r="AH211" s="915"/>
      <c r="AI211" s="915"/>
      <c r="AJ211" s="915"/>
      <c r="AK211" s="915"/>
      <c r="AL211" s="915"/>
    </row>
    <row r="212" spans="1:38" s="914" customFormat="1" ht="12.75" customHeight="1">
      <c r="A212" s="1107"/>
      <c r="B212" s="1098"/>
      <c r="C212" s="1109"/>
      <c r="D212" s="1102"/>
      <c r="E212" s="1179"/>
      <c r="F212" s="1052">
        <f>F211*$J$13/1000</f>
        <v>1.3133940000000002</v>
      </c>
      <c r="G212" s="1052"/>
      <c r="H212" s="1052"/>
      <c r="I212" s="1184">
        <f>J211*$Q$13/1000</f>
        <v>0</v>
      </c>
      <c r="J212" s="1184"/>
      <c r="K212" s="1184"/>
      <c r="L212" s="904"/>
      <c r="M212" s="391"/>
      <c r="N212" s="391"/>
      <c r="O212" s="391"/>
      <c r="P212" s="391"/>
      <c r="Q212" s="392"/>
      <c r="R212" s="1045"/>
      <c r="S212" s="1045"/>
      <c r="T212" s="1045"/>
      <c r="U212" s="800"/>
      <c r="V212" s="273">
        <f t="shared" si="10"/>
        <v>0</v>
      </c>
      <c r="W212" s="274">
        <f t="shared" si="11"/>
        <v>0</v>
      </c>
      <c r="X212" s="567"/>
      <c r="Y212" s="932"/>
      <c r="Z212" s="157"/>
      <c r="AA212" s="932"/>
      <c r="AB212" s="398"/>
      <c r="AC212" s="398"/>
      <c r="AD212" s="398"/>
      <c r="AE212" s="398"/>
      <c r="AF212" s="915"/>
      <c r="AG212" s="915"/>
      <c r="AH212" s="915"/>
      <c r="AI212" s="915"/>
      <c r="AJ212" s="915"/>
      <c r="AK212" s="915"/>
      <c r="AL212" s="915"/>
    </row>
    <row r="213" spans="1:38" s="745" customFormat="1" ht="12" customHeight="1">
      <c r="A213" s="1000">
        <f>+A211+1</f>
        <v>70</v>
      </c>
      <c r="B213" s="1001" t="s">
        <v>191</v>
      </c>
      <c r="C213" s="965" t="s">
        <v>378</v>
      </c>
      <c r="D213" s="966" t="s">
        <v>326</v>
      </c>
      <c r="E213" s="1003">
        <f>372*0.1/1000</f>
        <v>3.7200000000000004E-2</v>
      </c>
      <c r="F213" s="967"/>
      <c r="G213" s="967"/>
      <c r="H213" s="967"/>
      <c r="I213" s="1004"/>
      <c r="J213" s="1004"/>
      <c r="K213" s="1004"/>
      <c r="L213" s="697"/>
      <c r="M213" s="909"/>
      <c r="N213" s="910"/>
      <c r="O213" s="698"/>
      <c r="P213" s="700"/>
      <c r="Q213" s="788"/>
      <c r="R213" s="787">
        <f>F214+I214</f>
        <v>0</v>
      </c>
      <c r="S213" s="1129">
        <f>R213+R214</f>
        <v>943.90003890000025</v>
      </c>
      <c r="T213" s="1129">
        <f>E213*S213</f>
        <v>35.113081447080013</v>
      </c>
      <c r="U213" s="1131">
        <f>R214*E213</f>
        <v>35.113081447080013</v>
      </c>
      <c r="V213" s="273">
        <f t="shared" ref="V213:V276" si="17">+$V$14*S213</f>
        <v>1253.4399523993632</v>
      </c>
      <c r="W213" s="274">
        <f t="shared" ref="W213:W276" si="18">+V213*E213</f>
        <v>46.627966229256316</v>
      </c>
      <c r="X213" s="567"/>
      <c r="Y213" s="694"/>
      <c r="Z213" s="694"/>
      <c r="AA213" s="694"/>
      <c r="AB213" s="694"/>
      <c r="AC213" s="694"/>
      <c r="AD213" s="694"/>
      <c r="AE213" s="694"/>
    </row>
    <row r="214" spans="1:38" s="745" customFormat="1" ht="12" customHeight="1">
      <c r="A214" s="1000"/>
      <c r="B214" s="1002"/>
      <c r="C214" s="965"/>
      <c r="D214" s="966"/>
      <c r="E214" s="1003"/>
      <c r="F214" s="967"/>
      <c r="G214" s="967"/>
      <c r="H214" s="967"/>
      <c r="I214" s="967"/>
      <c r="J214" s="967"/>
      <c r="K214" s="967"/>
      <c r="L214" s="688" t="s">
        <v>378</v>
      </c>
      <c r="M214" s="689" t="s">
        <v>326</v>
      </c>
      <c r="N214" s="910">
        <v>1</v>
      </c>
      <c r="O214" s="698">
        <f>E213*N214</f>
        <v>3.7200000000000004E-2</v>
      </c>
      <c r="P214" s="699">
        <v>819</v>
      </c>
      <c r="Q214" s="696">
        <f>N214*P214*$N$11</f>
        <v>943.90003890000025</v>
      </c>
      <c r="R214" s="788">
        <f>SUM(Q214:Q214)</f>
        <v>943.90003890000025</v>
      </c>
      <c r="S214" s="1130"/>
      <c r="T214" s="1130"/>
      <c r="U214" s="1132"/>
      <c r="V214" s="273">
        <f t="shared" si="17"/>
        <v>0</v>
      </c>
      <c r="W214" s="274">
        <f t="shared" si="18"/>
        <v>0</v>
      </c>
      <c r="X214" s="567"/>
      <c r="Y214" s="694"/>
      <c r="Z214" s="694"/>
      <c r="AA214" s="694"/>
      <c r="AB214" s="694"/>
      <c r="AC214" s="694"/>
      <c r="AD214" s="694"/>
      <c r="AE214" s="694"/>
    </row>
    <row r="215" spans="1:38" s="913" customFormat="1" ht="11.25" customHeight="1">
      <c r="A215" s="1173">
        <f>+A213+1</f>
        <v>71</v>
      </c>
      <c r="B215" s="1022" t="s">
        <v>505</v>
      </c>
      <c r="C215" s="983" t="s">
        <v>508</v>
      </c>
      <c r="D215" s="1173" t="s">
        <v>122</v>
      </c>
      <c r="E215" s="1174">
        <v>6</v>
      </c>
      <c r="F215" s="1153">
        <v>0.69</v>
      </c>
      <c r="G215" s="1153"/>
      <c r="H215" s="1153"/>
      <c r="I215" s="1175">
        <v>1.56</v>
      </c>
      <c r="J215" s="1175"/>
      <c r="K215" s="1175"/>
      <c r="L215" s="719"/>
      <c r="M215" s="916"/>
      <c r="N215" s="916"/>
      <c r="O215" s="701"/>
      <c r="P215" s="704"/>
      <c r="Q215" s="911"/>
      <c r="R215" s="911">
        <f>F216+I216</f>
        <v>6.6401135999999994</v>
      </c>
      <c r="S215" s="1153">
        <f>R215+R216</f>
        <v>21.501041772888001</v>
      </c>
      <c r="T215" s="1153">
        <f>E215*S215</f>
        <v>129.00625063732801</v>
      </c>
      <c r="U215" s="1153">
        <f>R216*E215</f>
        <v>89.165569037328027</v>
      </c>
      <c r="V215" s="273">
        <f t="shared" si="17"/>
        <v>28.552032700149777</v>
      </c>
      <c r="W215" s="274">
        <f t="shared" si="18"/>
        <v>171.31219620089865</v>
      </c>
      <c r="X215" s="567"/>
      <c r="Y215" s="934"/>
      <c r="Z215" s="934"/>
      <c r="AA215" s="934"/>
      <c r="AB215" s="934"/>
      <c r="AC215" s="934"/>
      <c r="AD215" s="934"/>
      <c r="AE215" s="934"/>
    </row>
    <row r="216" spans="1:38" s="913" customFormat="1" ht="12.75">
      <c r="A216" s="1173"/>
      <c r="B216" s="1022"/>
      <c r="C216" s="983"/>
      <c r="D216" s="1173"/>
      <c r="E216" s="1174"/>
      <c r="F216" s="1153">
        <f>F215*J$13/1000</f>
        <v>1.61253</v>
      </c>
      <c r="G216" s="1153"/>
      <c r="H216" s="1153"/>
      <c r="I216" s="1153">
        <f>I215*$Q$13/1000</f>
        <v>5.0275835999999998</v>
      </c>
      <c r="J216" s="1153"/>
      <c r="K216" s="1153"/>
      <c r="L216" s="719" t="s">
        <v>506</v>
      </c>
      <c r="M216" s="916" t="s">
        <v>186</v>
      </c>
      <c r="N216" s="916">
        <v>1</v>
      </c>
      <c r="O216" s="701">
        <f>E215*N216</f>
        <v>6</v>
      </c>
      <c r="P216" s="917">
        <v>12</v>
      </c>
      <c r="Q216" s="911">
        <f>N216*P216*$N$11</f>
        <v>13.830037200000003</v>
      </c>
      <c r="R216" s="1153">
        <f>SUM(Q216:Q219)</f>
        <v>14.860928172888004</v>
      </c>
      <c r="S216" s="1153"/>
      <c r="T216" s="1153"/>
      <c r="U216" s="1153"/>
      <c r="V216" s="273">
        <f t="shared" si="17"/>
        <v>0</v>
      </c>
      <c r="W216" s="274">
        <f t="shared" si="18"/>
        <v>0</v>
      </c>
      <c r="X216" s="567"/>
      <c r="Y216" s="934"/>
      <c r="Z216" s="934"/>
      <c r="AA216" s="934"/>
      <c r="AB216" s="934"/>
      <c r="AC216" s="934"/>
      <c r="AD216" s="934"/>
      <c r="AE216" s="934"/>
    </row>
    <row r="217" spans="1:38" s="913" customFormat="1" ht="12.75">
      <c r="A217" s="1173"/>
      <c r="B217" s="1022"/>
      <c r="C217" s="983"/>
      <c r="D217" s="1173"/>
      <c r="E217" s="1174"/>
      <c r="F217" s="1153"/>
      <c r="G217" s="1153"/>
      <c r="H217" s="1153"/>
      <c r="I217" s="1153"/>
      <c r="J217" s="1153"/>
      <c r="K217" s="1153"/>
      <c r="L217" s="907" t="s">
        <v>507</v>
      </c>
      <c r="M217" s="908" t="s">
        <v>124</v>
      </c>
      <c r="N217" s="916">
        <v>1.56</v>
      </c>
      <c r="O217" s="701">
        <f>E215*N217</f>
        <v>9.36</v>
      </c>
      <c r="P217" s="917">
        <v>0.5</v>
      </c>
      <c r="Q217" s="911">
        <f>N217*P217*$N$11</f>
        <v>0.89895241800000025</v>
      </c>
      <c r="R217" s="1153"/>
      <c r="S217" s="1153"/>
      <c r="T217" s="1153"/>
      <c r="U217" s="1153"/>
      <c r="V217" s="273">
        <f t="shared" si="17"/>
        <v>0</v>
      </c>
      <c r="W217" s="274">
        <f t="shared" si="18"/>
        <v>0</v>
      </c>
      <c r="X217" s="567"/>
      <c r="Y217" s="934"/>
      <c r="Z217" s="934"/>
      <c r="AA217" s="934"/>
      <c r="AB217" s="934"/>
      <c r="AC217" s="934"/>
      <c r="AD217" s="934"/>
      <c r="AE217" s="934"/>
    </row>
    <row r="218" spans="1:38" s="913" customFormat="1" ht="12.75">
      <c r="A218" s="1173"/>
      <c r="B218" s="1022"/>
      <c r="C218" s="983"/>
      <c r="D218" s="1173"/>
      <c r="E218" s="1174"/>
      <c r="F218" s="1153"/>
      <c r="G218" s="1153"/>
      <c r="H218" s="1153"/>
      <c r="I218" s="1153"/>
      <c r="J218" s="1153"/>
      <c r="K218" s="1153"/>
      <c r="L218" s="907" t="s">
        <v>349</v>
      </c>
      <c r="M218" s="908" t="s">
        <v>124</v>
      </c>
      <c r="N218" s="916">
        <v>0.06</v>
      </c>
      <c r="O218" s="701">
        <f>E215*N218</f>
        <v>0.36</v>
      </c>
      <c r="P218" s="917">
        <v>1.1879999999999999</v>
      </c>
      <c r="Q218" s="911">
        <f>N218*P218*$N$11</f>
        <v>8.2150420968000015E-2</v>
      </c>
      <c r="R218" s="1153"/>
      <c r="S218" s="1153"/>
      <c r="T218" s="1153"/>
      <c r="U218" s="1153"/>
      <c r="V218" s="273">
        <f t="shared" si="17"/>
        <v>0</v>
      </c>
      <c r="W218" s="274">
        <f t="shared" si="18"/>
        <v>0</v>
      </c>
      <c r="X218" s="567"/>
      <c r="Y218" s="934"/>
      <c r="Z218" s="934"/>
      <c r="AA218" s="934"/>
      <c r="AB218" s="934"/>
      <c r="AC218" s="934"/>
      <c r="AD218" s="934"/>
      <c r="AE218" s="934"/>
    </row>
    <row r="219" spans="1:38" s="913" customFormat="1" ht="12.75">
      <c r="A219" s="1173"/>
      <c r="B219" s="1022"/>
      <c r="C219" s="983"/>
      <c r="D219" s="1173"/>
      <c r="E219" s="1174"/>
      <c r="F219" s="1153"/>
      <c r="G219" s="1153"/>
      <c r="H219" s="1153"/>
      <c r="I219" s="1153"/>
      <c r="J219" s="1153"/>
      <c r="K219" s="1153"/>
      <c r="L219" s="907" t="s">
        <v>190</v>
      </c>
      <c r="M219" s="908" t="s">
        <v>124</v>
      </c>
      <c r="N219" s="916">
        <v>4.8000000000000001E-2</v>
      </c>
      <c r="O219" s="701">
        <f>E215*N219</f>
        <v>0.28800000000000003</v>
      </c>
      <c r="P219" s="917">
        <v>0.9</v>
      </c>
      <c r="Q219" s="911">
        <f>N219*P219*$N$11</f>
        <v>4.9788133920000019E-2</v>
      </c>
      <c r="R219" s="1153"/>
      <c r="S219" s="1153"/>
      <c r="T219" s="1153"/>
      <c r="U219" s="1153"/>
      <c r="V219" s="273">
        <f t="shared" si="17"/>
        <v>0</v>
      </c>
      <c r="W219" s="274">
        <f t="shared" si="18"/>
        <v>0</v>
      </c>
      <c r="X219" s="567"/>
      <c r="Y219" s="934"/>
      <c r="Z219" s="934"/>
      <c r="AA219" s="934"/>
      <c r="AB219" s="934"/>
      <c r="AC219" s="934"/>
      <c r="AD219" s="934"/>
      <c r="AE219" s="934"/>
    </row>
    <row r="220" spans="1:38" s="745" customFormat="1" ht="12.75" customHeight="1">
      <c r="A220" s="1000">
        <f>+A215+1</f>
        <v>72</v>
      </c>
      <c r="B220" s="1001" t="s">
        <v>191</v>
      </c>
      <c r="C220" s="965" t="s">
        <v>493</v>
      </c>
      <c r="D220" s="966" t="s">
        <v>164</v>
      </c>
      <c r="E220" s="1172">
        <v>4</v>
      </c>
      <c r="F220" s="967"/>
      <c r="G220" s="967"/>
      <c r="H220" s="967"/>
      <c r="I220" s="1004"/>
      <c r="J220" s="1004"/>
      <c r="K220" s="1004"/>
      <c r="L220" s="697"/>
      <c r="M220" s="909"/>
      <c r="N220" s="910"/>
      <c r="O220" s="698"/>
      <c r="P220" s="691"/>
      <c r="Q220" s="788"/>
      <c r="R220" s="787">
        <f>F221+I221</f>
        <v>0</v>
      </c>
      <c r="S220" s="1129">
        <f>R220+R221</f>
        <v>0.92200248000000029</v>
      </c>
      <c r="T220" s="1129">
        <f>E220*S220</f>
        <v>3.6880099200000012</v>
      </c>
      <c r="U220" s="1131">
        <f>R221*E220</f>
        <v>3.6880099200000012</v>
      </c>
      <c r="V220" s="273">
        <f t="shared" si="17"/>
        <v>1.2243613698650677</v>
      </c>
      <c r="W220" s="274">
        <f t="shared" si="18"/>
        <v>4.8974454794602709</v>
      </c>
      <c r="X220" s="567"/>
      <c r="Y220" s="694"/>
      <c r="Z220" s="694"/>
      <c r="AA220" s="694"/>
      <c r="AB220" s="694"/>
      <c r="AC220" s="694"/>
      <c r="AD220" s="694"/>
      <c r="AE220" s="694"/>
    </row>
    <row r="221" spans="1:38" s="745" customFormat="1" ht="12.75" customHeight="1">
      <c r="A221" s="1000"/>
      <c r="B221" s="1002"/>
      <c r="C221" s="965"/>
      <c r="D221" s="966"/>
      <c r="E221" s="1172"/>
      <c r="F221" s="967"/>
      <c r="G221" s="967"/>
      <c r="H221" s="967"/>
      <c r="I221" s="967"/>
      <c r="J221" s="967"/>
      <c r="K221" s="967"/>
      <c r="L221" s="688" t="s">
        <v>377</v>
      </c>
      <c r="M221" s="689" t="s">
        <v>164</v>
      </c>
      <c r="N221" s="910">
        <v>1</v>
      </c>
      <c r="O221" s="698">
        <f>E220*N221</f>
        <v>4</v>
      </c>
      <c r="P221" s="917">
        <v>0.8</v>
      </c>
      <c r="Q221" s="696">
        <f>N221*P221*$N$11</f>
        <v>0.92200248000000029</v>
      </c>
      <c r="R221" s="788">
        <f>SUM(Q221:Q221)</f>
        <v>0.92200248000000029</v>
      </c>
      <c r="S221" s="1130"/>
      <c r="T221" s="1130"/>
      <c r="U221" s="1132"/>
      <c r="V221" s="273">
        <f t="shared" si="17"/>
        <v>0</v>
      </c>
      <c r="W221" s="274">
        <f t="shared" si="18"/>
        <v>0</v>
      </c>
      <c r="X221" s="567"/>
      <c r="Y221" s="694"/>
      <c r="Z221" s="694"/>
      <c r="AA221" s="694"/>
      <c r="AB221" s="694"/>
      <c r="AC221" s="694"/>
      <c r="AD221" s="694"/>
      <c r="AE221" s="694"/>
    </row>
    <row r="222" spans="1:38" s="745" customFormat="1" ht="12.75" customHeight="1">
      <c r="A222" s="1000">
        <f>+A220+1</f>
        <v>73</v>
      </c>
      <c r="B222" s="1001" t="s">
        <v>191</v>
      </c>
      <c r="C222" s="965" t="s">
        <v>380</v>
      </c>
      <c r="D222" s="966" t="s">
        <v>164</v>
      </c>
      <c r="E222" s="1172">
        <v>1</v>
      </c>
      <c r="F222" s="967"/>
      <c r="G222" s="967"/>
      <c r="H222" s="967"/>
      <c r="I222" s="1004"/>
      <c r="J222" s="1004"/>
      <c r="K222" s="1004"/>
      <c r="L222" s="697"/>
      <c r="M222" s="909"/>
      <c r="N222" s="910"/>
      <c r="O222" s="698"/>
      <c r="P222" s="691"/>
      <c r="Q222" s="788"/>
      <c r="R222" s="788">
        <f>F223+I223</f>
        <v>0</v>
      </c>
      <c r="S222" s="1129">
        <f>R222+R223</f>
        <v>1.1525031000000003</v>
      </c>
      <c r="T222" s="1129">
        <f>E222*S222</f>
        <v>1.1525031000000003</v>
      </c>
      <c r="U222" s="1131">
        <f>R223*E222</f>
        <v>1.1525031000000003</v>
      </c>
      <c r="V222" s="273">
        <f t="shared" si="17"/>
        <v>1.5304517123313346</v>
      </c>
      <c r="W222" s="274">
        <f t="shared" si="18"/>
        <v>1.5304517123313346</v>
      </c>
      <c r="X222" s="567"/>
      <c r="Y222" s="694"/>
      <c r="Z222" s="694"/>
      <c r="AA222" s="694"/>
      <c r="AB222" s="694"/>
      <c r="AC222" s="694"/>
      <c r="AD222" s="694"/>
      <c r="AE222" s="694"/>
    </row>
    <row r="223" spans="1:38" s="745" customFormat="1" ht="12.75" customHeight="1">
      <c r="A223" s="1000"/>
      <c r="B223" s="1002"/>
      <c r="C223" s="965"/>
      <c r="D223" s="966"/>
      <c r="E223" s="1172"/>
      <c r="F223" s="967"/>
      <c r="G223" s="967"/>
      <c r="H223" s="967"/>
      <c r="I223" s="967"/>
      <c r="J223" s="967"/>
      <c r="K223" s="967"/>
      <c r="L223" s="688" t="s">
        <v>381</v>
      </c>
      <c r="M223" s="689" t="s">
        <v>164</v>
      </c>
      <c r="N223" s="910">
        <v>1</v>
      </c>
      <c r="O223" s="698">
        <f>E222*N223</f>
        <v>1</v>
      </c>
      <c r="P223" s="917">
        <v>1</v>
      </c>
      <c r="Q223" s="696">
        <f>N223*P223*$N$11</f>
        <v>1.1525031000000003</v>
      </c>
      <c r="R223" s="788">
        <f>SUM(Q223:Q223)</f>
        <v>1.1525031000000003</v>
      </c>
      <c r="S223" s="1130"/>
      <c r="T223" s="1130"/>
      <c r="U223" s="1132"/>
      <c r="V223" s="273">
        <f t="shared" si="17"/>
        <v>0</v>
      </c>
      <c r="W223" s="274">
        <f t="shared" si="18"/>
        <v>0</v>
      </c>
      <c r="X223" s="567"/>
      <c r="Y223" s="694"/>
      <c r="Z223" s="694"/>
      <c r="AA223" s="694"/>
      <c r="AB223" s="694"/>
      <c r="AC223" s="694"/>
      <c r="AD223" s="694"/>
      <c r="AE223" s="694"/>
    </row>
    <row r="224" spans="1:38" s="804" customFormat="1" ht="12.75" customHeight="1">
      <c r="A224" s="1133">
        <f>+A222+1</f>
        <v>74</v>
      </c>
      <c r="B224" s="1135" t="s">
        <v>362</v>
      </c>
      <c r="C224" s="1137" t="s">
        <v>363</v>
      </c>
      <c r="D224" s="1140" t="s">
        <v>122</v>
      </c>
      <c r="E224" s="1142">
        <v>4.32</v>
      </c>
      <c r="F224" s="1148">
        <v>0.38400000000000001</v>
      </c>
      <c r="G224" s="1148"/>
      <c r="H224" s="1148"/>
      <c r="I224" s="1214">
        <f>0.03/100</f>
        <v>2.9999999999999997E-4</v>
      </c>
      <c r="J224" s="1215"/>
      <c r="K224" s="1216"/>
      <c r="L224" s="417"/>
      <c r="M224" s="898"/>
      <c r="N224" s="705"/>
      <c r="O224" s="705"/>
      <c r="P224" s="797"/>
      <c r="Q224" s="706"/>
      <c r="R224" s="790">
        <f>F225+I225</f>
        <v>0.89837484300000003</v>
      </c>
      <c r="S224" s="1020">
        <f>R224+R225</f>
        <v>1.2786904934721002</v>
      </c>
      <c r="T224" s="1020">
        <f>E224*S224</f>
        <v>5.523942931799473</v>
      </c>
      <c r="U224" s="1144">
        <f>R225*E224</f>
        <v>1.6429636100394727</v>
      </c>
      <c r="V224" s="273">
        <f t="shared" si="17"/>
        <v>1.6980206433077485</v>
      </c>
      <c r="W224" s="274">
        <f t="shared" si="18"/>
        <v>7.3354491790894736</v>
      </c>
      <c r="X224" s="567"/>
      <c r="Y224" s="721"/>
      <c r="Z224" s="721"/>
      <c r="AA224" s="721"/>
      <c r="AB224" s="721"/>
      <c r="AC224" s="721"/>
      <c r="AD224" s="721"/>
      <c r="AE224" s="721"/>
    </row>
    <row r="225" spans="1:256" s="804" customFormat="1" ht="12.75" customHeight="1">
      <c r="A225" s="1134"/>
      <c r="B225" s="1136"/>
      <c r="C225" s="1138"/>
      <c r="D225" s="1141"/>
      <c r="E225" s="1143"/>
      <c r="F225" s="1148">
        <f>F224*J$13/1000</f>
        <v>0.89740799999999998</v>
      </c>
      <c r="G225" s="1148"/>
      <c r="H225" s="1148"/>
      <c r="I225" s="1148">
        <f>I224*$Q$13/1000</f>
        <v>9.6684299999999989E-4</v>
      </c>
      <c r="J225" s="1148"/>
      <c r="K225" s="1148"/>
      <c r="L225" s="806" t="s">
        <v>130</v>
      </c>
      <c r="M225" s="250" t="s">
        <v>124</v>
      </c>
      <c r="N225" s="712">
        <v>0.246</v>
      </c>
      <c r="O225" s="713">
        <f>E224*N225</f>
        <v>1.0627200000000001</v>
      </c>
      <c r="P225" s="341">
        <v>1.25</v>
      </c>
      <c r="Q225" s="714">
        <f>N225*P225*$N$11</f>
        <v>0.35439470325000011</v>
      </c>
      <c r="R225" s="1020">
        <f>SUM(Q225:Q226)</f>
        <v>0.38031565047210014</v>
      </c>
      <c r="S225" s="1020"/>
      <c r="T225" s="1020"/>
      <c r="U225" s="1144"/>
      <c r="V225" s="273">
        <f t="shared" si="17"/>
        <v>0</v>
      </c>
      <c r="W225" s="274">
        <f t="shared" si="18"/>
        <v>0</v>
      </c>
      <c r="X225" s="567"/>
      <c r="Y225" s="721"/>
      <c r="Z225" s="721"/>
      <c r="AA225" s="721"/>
      <c r="AB225" s="721"/>
      <c r="AC225" s="721"/>
      <c r="AD225" s="721"/>
      <c r="AE225" s="721"/>
    </row>
    <row r="226" spans="1:256" s="804" customFormat="1" ht="12.75" customHeight="1">
      <c r="A226" s="1134"/>
      <c r="B226" s="1136"/>
      <c r="C226" s="1139"/>
      <c r="D226" s="1141"/>
      <c r="E226" s="1143"/>
      <c r="F226" s="1148"/>
      <c r="G226" s="1148"/>
      <c r="H226" s="1148"/>
      <c r="I226" s="1148"/>
      <c r="J226" s="1148"/>
      <c r="K226" s="1148"/>
      <c r="L226" s="807" t="s">
        <v>365</v>
      </c>
      <c r="M226" s="254" t="s">
        <v>124</v>
      </c>
      <c r="N226" s="715">
        <v>2.7E-2</v>
      </c>
      <c r="O226" s="716">
        <f>E224*N226</f>
        <v>0.11664000000000001</v>
      </c>
      <c r="P226" s="355">
        <v>0.83299999999999996</v>
      </c>
      <c r="Q226" s="717">
        <f>N226*P226*$N$11</f>
        <v>2.5920947222100005E-2</v>
      </c>
      <c r="R226" s="1020"/>
      <c r="S226" s="1020"/>
      <c r="T226" s="1020"/>
      <c r="U226" s="1144"/>
      <c r="V226" s="273">
        <f t="shared" si="17"/>
        <v>0</v>
      </c>
      <c r="W226" s="274">
        <f t="shared" si="18"/>
        <v>0</v>
      </c>
      <c r="X226" s="567"/>
      <c r="Y226" s="721"/>
      <c r="Z226" s="721"/>
      <c r="AA226" s="721"/>
      <c r="AB226" s="721"/>
      <c r="AC226" s="721"/>
      <c r="AD226" s="721"/>
      <c r="AE226" s="721"/>
    </row>
    <row r="227" spans="1:256" s="721" customFormat="1" ht="12.75" customHeight="1">
      <c r="A227" s="1149">
        <f>+A224+1</f>
        <v>75</v>
      </c>
      <c r="B227" s="1150" t="s">
        <v>509</v>
      </c>
      <c r="C227" s="1137" t="s">
        <v>510</v>
      </c>
      <c r="D227" s="1151" t="s">
        <v>122</v>
      </c>
      <c r="E227" s="1152">
        <v>2.88</v>
      </c>
      <c r="F227" s="1153">
        <f>2.71/100+2.13/100</f>
        <v>4.8399999999999999E-2</v>
      </c>
      <c r="G227" s="1153"/>
      <c r="H227" s="1153"/>
      <c r="I227" s="1175">
        <f>0.36/100*2</f>
        <v>7.1999999999999998E-3</v>
      </c>
      <c r="J227" s="1175"/>
      <c r="K227" s="1175"/>
      <c r="L227" s="417"/>
      <c r="M227" s="898"/>
      <c r="N227" s="705"/>
      <c r="O227" s="705"/>
      <c r="P227" s="705"/>
      <c r="Q227" s="706"/>
      <c r="R227" s="911">
        <f>F228+I228</f>
        <v>0.136315032</v>
      </c>
      <c r="S227" s="1153">
        <f>R227+R228</f>
        <v>0.20036423927940003</v>
      </c>
      <c r="T227" s="1154">
        <f>E227*S227</f>
        <v>0.57704900912467205</v>
      </c>
      <c r="U227" s="1155">
        <f>R228*E227</f>
        <v>0.18446171696467206</v>
      </c>
      <c r="V227" s="273">
        <f t="shared" si="17"/>
        <v>0.2660711221471968</v>
      </c>
      <c r="W227" s="274">
        <f t="shared" si="18"/>
        <v>0.76628483178392681</v>
      </c>
      <c r="X227" s="567"/>
      <c r="Y227" s="569"/>
      <c r="Z227" s="569"/>
      <c r="AB227" s="569"/>
      <c r="AC227" s="569"/>
      <c r="AD227" s="569"/>
      <c r="AE227" s="569"/>
      <c r="AF227" s="569"/>
      <c r="AG227" s="569"/>
      <c r="AH227" s="569"/>
      <c r="AI227" s="569"/>
      <c r="AJ227" s="569"/>
      <c r="AK227" s="569"/>
    </row>
    <row r="228" spans="1:256" s="721" customFormat="1" ht="12.75" customHeight="1">
      <c r="A228" s="1149"/>
      <c r="B228" s="1150"/>
      <c r="C228" s="1138"/>
      <c r="D228" s="1151"/>
      <c r="E228" s="1152"/>
      <c r="F228" s="1153">
        <f>F227*J$13/1000</f>
        <v>0.1131108</v>
      </c>
      <c r="G228" s="1153"/>
      <c r="H228" s="1153"/>
      <c r="I228" s="1153">
        <f>I227*$Q$13/1000</f>
        <v>2.3204231999999998E-2</v>
      </c>
      <c r="J228" s="1153"/>
      <c r="K228" s="1153"/>
      <c r="L228" s="806" t="s">
        <v>255</v>
      </c>
      <c r="M228" s="250" t="s">
        <v>124</v>
      </c>
      <c r="N228" s="712">
        <v>0.1</v>
      </c>
      <c r="O228" s="713">
        <f>E227*N228</f>
        <v>0.28799999999999998</v>
      </c>
      <c r="P228" s="918">
        <v>0.16550000000000001</v>
      </c>
      <c r="Q228" s="714">
        <f t="shared" ref="Q228:Q229" si="19">N228*P228*$N$11</f>
        <v>1.9073926305000009E-2</v>
      </c>
      <c r="R228" s="1153">
        <f>SUM(Q228:Q229)</f>
        <v>6.4049207279400028E-2</v>
      </c>
      <c r="S228" s="1153"/>
      <c r="T228" s="1154"/>
      <c r="U228" s="1155"/>
      <c r="V228" s="273">
        <f t="shared" si="17"/>
        <v>0</v>
      </c>
      <c r="W228" s="274">
        <f t="shared" si="18"/>
        <v>0</v>
      </c>
      <c r="X228" s="567"/>
      <c r="Y228" s="569"/>
      <c r="Z228" s="569"/>
      <c r="AB228" s="569"/>
      <c r="AC228" s="569"/>
      <c r="AD228" s="569"/>
      <c r="AE228" s="569"/>
      <c r="AF228" s="569"/>
      <c r="AG228" s="569"/>
      <c r="AH228" s="569"/>
      <c r="AI228" s="569"/>
      <c r="AJ228" s="569"/>
      <c r="AK228" s="569"/>
    </row>
    <row r="229" spans="1:256" s="721" customFormat="1" ht="12.75" customHeight="1">
      <c r="A229" s="1149"/>
      <c r="B229" s="1150"/>
      <c r="C229" s="1139"/>
      <c r="D229" s="1151"/>
      <c r="E229" s="1152"/>
      <c r="F229" s="1153"/>
      <c r="G229" s="1153"/>
      <c r="H229" s="1153"/>
      <c r="I229" s="1153"/>
      <c r="J229" s="1153"/>
      <c r="K229" s="1153"/>
      <c r="L229" s="807" t="s">
        <v>128</v>
      </c>
      <c r="M229" s="254" t="s">
        <v>124</v>
      </c>
      <c r="N229" s="715">
        <f>3.6/100</f>
        <v>3.6000000000000004E-2</v>
      </c>
      <c r="O229" s="716">
        <f>E227*N229</f>
        <v>0.10368000000000001</v>
      </c>
      <c r="P229" s="355">
        <f>0.542*2</f>
        <v>1.0840000000000001</v>
      </c>
      <c r="Q229" s="717">
        <f t="shared" si="19"/>
        <v>4.4975280974400025E-2</v>
      </c>
      <c r="R229" s="1153"/>
      <c r="S229" s="1153"/>
      <c r="T229" s="1154"/>
      <c r="U229" s="1155"/>
      <c r="V229" s="273">
        <f t="shared" si="17"/>
        <v>0</v>
      </c>
      <c r="W229" s="274">
        <f t="shared" si="18"/>
        <v>0</v>
      </c>
      <c r="X229" s="567"/>
      <c r="Y229" s="569"/>
      <c r="Z229" s="569"/>
      <c r="AB229" s="569"/>
      <c r="AC229" s="569"/>
      <c r="AD229" s="569"/>
      <c r="AE229" s="569"/>
      <c r="AF229" s="569"/>
      <c r="AG229" s="569"/>
      <c r="AH229" s="569"/>
      <c r="AI229" s="569"/>
      <c r="AJ229" s="569"/>
      <c r="AK229" s="569"/>
    </row>
    <row r="230" spans="1:256" s="564" customFormat="1" ht="14.25" customHeight="1">
      <c r="B230" s="771"/>
      <c r="C230" s="831" t="s">
        <v>486</v>
      </c>
      <c r="D230" s="664"/>
      <c r="E230" s="664"/>
      <c r="F230" s="778"/>
      <c r="G230" s="665"/>
      <c r="H230" s="665"/>
      <c r="I230" s="665"/>
      <c r="J230" s="665"/>
      <c r="K230" s="665"/>
      <c r="L230" s="671"/>
      <c r="M230" s="665"/>
      <c r="N230" s="665"/>
      <c r="O230" s="665"/>
      <c r="P230" s="665"/>
      <c r="Q230" s="665"/>
      <c r="R230" s="665"/>
      <c r="S230" s="665"/>
      <c r="T230" s="672"/>
      <c r="U230" s="665"/>
      <c r="V230" s="273">
        <f t="shared" si="17"/>
        <v>0</v>
      </c>
      <c r="W230" s="274">
        <f t="shared" si="18"/>
        <v>0</v>
      </c>
      <c r="X230" s="567"/>
      <c r="Y230" s="666"/>
      <c r="Z230" s="666"/>
      <c r="AA230" s="666"/>
      <c r="AB230" s="666"/>
      <c r="AC230" s="666"/>
      <c r="AD230" s="666"/>
      <c r="AE230" s="666"/>
      <c r="AF230" s="666"/>
      <c r="AG230" s="666"/>
      <c r="AH230" s="666"/>
      <c r="AI230" s="666"/>
      <c r="AJ230" s="666"/>
      <c r="AK230" s="666"/>
      <c r="AL230" s="563"/>
      <c r="AM230" s="563"/>
      <c r="AN230" s="563"/>
      <c r="AO230" s="563"/>
      <c r="AP230" s="563"/>
      <c r="AQ230" s="563"/>
      <c r="AR230" s="563"/>
      <c r="AS230" s="563"/>
      <c r="AT230" s="563"/>
      <c r="AU230" s="563"/>
      <c r="AV230" s="563"/>
      <c r="AW230" s="563"/>
      <c r="AX230" s="563"/>
      <c r="AY230" s="563"/>
      <c r="AZ230" s="563"/>
      <c r="BA230" s="563"/>
      <c r="BB230" s="563"/>
      <c r="BC230" s="563"/>
      <c r="BD230" s="563"/>
      <c r="BE230" s="563"/>
      <c r="BF230" s="563"/>
      <c r="BG230" s="563"/>
      <c r="BH230" s="563"/>
      <c r="BI230" s="563"/>
      <c r="BJ230" s="563"/>
      <c r="BK230" s="563"/>
      <c r="BL230" s="563"/>
      <c r="BM230" s="563"/>
      <c r="BN230" s="563"/>
      <c r="BO230" s="563"/>
      <c r="BP230" s="563"/>
      <c r="BQ230" s="563"/>
      <c r="BR230" s="563"/>
      <c r="BS230" s="563"/>
      <c r="BT230" s="563"/>
      <c r="BU230" s="563"/>
      <c r="BV230" s="563"/>
      <c r="BW230" s="563"/>
      <c r="BX230" s="563"/>
      <c r="BY230" s="563"/>
      <c r="BZ230" s="563"/>
      <c r="CA230" s="563"/>
      <c r="CB230" s="563"/>
      <c r="CC230" s="563"/>
      <c r="CD230" s="563"/>
      <c r="CE230" s="563"/>
      <c r="CF230" s="563"/>
      <c r="CG230" s="563"/>
      <c r="CH230" s="563"/>
      <c r="CI230" s="563"/>
      <c r="CJ230" s="563"/>
      <c r="CK230" s="563"/>
      <c r="CL230" s="563"/>
      <c r="CM230" s="563"/>
      <c r="CN230" s="563"/>
      <c r="CO230" s="563"/>
      <c r="CP230" s="563"/>
      <c r="CQ230" s="563"/>
      <c r="CR230" s="563"/>
      <c r="CS230" s="563"/>
      <c r="CT230" s="563"/>
      <c r="CU230" s="563"/>
      <c r="CV230" s="563"/>
      <c r="CW230" s="563"/>
      <c r="CX230" s="563"/>
      <c r="CY230" s="563"/>
      <c r="CZ230" s="563"/>
      <c r="DA230" s="563"/>
      <c r="DB230" s="563"/>
      <c r="DC230" s="563"/>
      <c r="DD230" s="563"/>
      <c r="DE230" s="563"/>
      <c r="DF230" s="563"/>
      <c r="DG230" s="563"/>
      <c r="DH230" s="563"/>
      <c r="DI230" s="563"/>
      <c r="DJ230" s="563"/>
      <c r="DK230" s="563"/>
      <c r="DL230" s="563"/>
      <c r="DM230" s="563"/>
      <c r="DN230" s="563"/>
      <c r="DO230" s="563"/>
      <c r="DP230" s="563"/>
      <c r="DQ230" s="563"/>
      <c r="DR230" s="563"/>
      <c r="DS230" s="563"/>
      <c r="DT230" s="563"/>
      <c r="DU230" s="563"/>
      <c r="DV230" s="563"/>
      <c r="DW230" s="563"/>
      <c r="DX230" s="563"/>
      <c r="DY230" s="563"/>
      <c r="DZ230" s="563"/>
      <c r="EA230" s="563"/>
      <c r="EB230" s="563"/>
      <c r="EC230" s="563"/>
      <c r="ED230" s="563"/>
      <c r="EE230" s="563"/>
      <c r="EF230" s="563"/>
      <c r="EG230" s="563"/>
      <c r="EH230" s="563"/>
      <c r="EI230" s="563"/>
      <c r="EJ230" s="563"/>
      <c r="EK230" s="563"/>
      <c r="EL230" s="563"/>
      <c r="EM230" s="563"/>
      <c r="EN230" s="563"/>
      <c r="EO230" s="563"/>
      <c r="EP230" s="563"/>
      <c r="EQ230" s="563"/>
      <c r="ER230" s="563"/>
      <c r="ES230" s="563"/>
      <c r="ET230" s="563"/>
      <c r="EU230" s="563"/>
      <c r="EV230" s="563"/>
      <c r="EW230" s="563"/>
      <c r="EX230" s="563"/>
      <c r="EY230" s="563"/>
      <c r="EZ230" s="563"/>
      <c r="FA230" s="563"/>
      <c r="FB230" s="563"/>
      <c r="FC230" s="563"/>
      <c r="FD230" s="563"/>
      <c r="FE230" s="563"/>
      <c r="FF230" s="563"/>
      <c r="FG230" s="563"/>
      <c r="FH230" s="563"/>
      <c r="FI230" s="563"/>
      <c r="FJ230" s="563"/>
      <c r="FK230" s="563"/>
      <c r="FL230" s="563"/>
      <c r="FM230" s="563"/>
      <c r="FN230" s="563"/>
      <c r="FO230" s="563"/>
      <c r="FP230" s="563"/>
      <c r="FQ230" s="563"/>
      <c r="FR230" s="563"/>
      <c r="FS230" s="563"/>
      <c r="FT230" s="563"/>
      <c r="FU230" s="563"/>
      <c r="FV230" s="563"/>
      <c r="FW230" s="563"/>
      <c r="FX230" s="563"/>
      <c r="FY230" s="563"/>
      <c r="FZ230" s="563"/>
      <c r="GA230" s="563"/>
      <c r="GB230" s="563"/>
      <c r="GC230" s="563"/>
      <c r="GD230" s="563"/>
      <c r="GE230" s="563"/>
      <c r="GF230" s="563"/>
      <c r="GG230" s="563"/>
      <c r="GH230" s="563"/>
      <c r="GI230" s="563"/>
      <c r="GJ230" s="563"/>
      <c r="GK230" s="563"/>
      <c r="GL230" s="563"/>
      <c r="GM230" s="563"/>
      <c r="GN230" s="563"/>
      <c r="GO230" s="563"/>
      <c r="GP230" s="563"/>
      <c r="GQ230" s="563"/>
      <c r="GR230" s="563"/>
      <c r="GS230" s="563"/>
      <c r="GT230" s="563"/>
      <c r="GU230" s="563"/>
      <c r="GV230" s="563"/>
      <c r="GW230" s="563"/>
      <c r="GX230" s="563"/>
      <c r="GY230" s="563"/>
      <c r="GZ230" s="563"/>
      <c r="HA230" s="563"/>
      <c r="HB230" s="563"/>
      <c r="HC230" s="563"/>
      <c r="HD230" s="563"/>
      <c r="HE230" s="563"/>
      <c r="HF230" s="563"/>
      <c r="HG230" s="563"/>
      <c r="HH230" s="563"/>
      <c r="HI230" s="563"/>
      <c r="HJ230" s="563"/>
      <c r="HK230" s="563"/>
      <c r="HL230" s="563"/>
      <c r="HM230" s="563"/>
      <c r="HN230" s="563"/>
      <c r="HO230" s="563"/>
      <c r="HP230" s="563"/>
      <c r="HQ230" s="563"/>
      <c r="HR230" s="563"/>
      <c r="HS230" s="563"/>
      <c r="HT230" s="563"/>
      <c r="HU230" s="563"/>
      <c r="HV230" s="563"/>
      <c r="HW230" s="563"/>
      <c r="HX230" s="563"/>
      <c r="HY230" s="563"/>
      <c r="HZ230" s="563"/>
      <c r="IA230" s="563"/>
      <c r="IB230" s="563"/>
      <c r="IC230" s="563"/>
      <c r="ID230" s="563"/>
      <c r="IE230" s="563"/>
      <c r="IF230" s="563"/>
      <c r="IG230" s="563"/>
      <c r="IH230" s="563"/>
      <c r="II230" s="563"/>
      <c r="IJ230" s="563"/>
      <c r="IK230" s="563"/>
      <c r="IL230" s="563"/>
      <c r="IM230" s="563"/>
      <c r="IN230" s="563"/>
      <c r="IO230" s="563"/>
      <c r="IP230" s="563"/>
      <c r="IQ230" s="563"/>
      <c r="IR230" s="563"/>
      <c r="IS230" s="563"/>
      <c r="IT230" s="563"/>
      <c r="IU230" s="563"/>
      <c r="IV230" s="563"/>
    </row>
    <row r="231" spans="1:256" s="481" customFormat="1" ht="12.75" customHeight="1">
      <c r="A231" s="1095">
        <f>+A227+1</f>
        <v>76</v>
      </c>
      <c r="B231" s="1097" t="s">
        <v>327</v>
      </c>
      <c r="C231" s="1108" t="s">
        <v>337</v>
      </c>
      <c r="D231" s="1101" t="s">
        <v>180</v>
      </c>
      <c r="E231" s="1101">
        <v>10</v>
      </c>
      <c r="F231" s="1052">
        <f>0.001*10.6</f>
        <v>1.06E-2</v>
      </c>
      <c r="G231" s="1052"/>
      <c r="H231" s="1052"/>
      <c r="I231" s="1052">
        <f>0.001*224.4</f>
        <v>0.22440000000000002</v>
      </c>
      <c r="J231" s="1052"/>
      <c r="K231" s="1052"/>
      <c r="L231" s="387"/>
      <c r="M231" s="661"/>
      <c r="N231" s="661"/>
      <c r="O231" s="661"/>
      <c r="P231" s="662"/>
      <c r="Q231" s="389"/>
      <c r="R231" s="1044">
        <f>F232+I232</f>
        <v>0.74797076400000007</v>
      </c>
      <c r="S231" s="1044">
        <f>R231+R232</f>
        <v>0.74797076400000007</v>
      </c>
      <c r="T231" s="1044">
        <f>E231*S231</f>
        <v>7.4797076400000009</v>
      </c>
      <c r="U231" s="1105"/>
      <c r="V231" s="273">
        <f t="shared" si="17"/>
        <v>0.99325818432729285</v>
      </c>
      <c r="W231" s="274">
        <f t="shared" si="18"/>
        <v>9.9325818432729278</v>
      </c>
      <c r="X231" s="567"/>
      <c r="Y231" s="242"/>
      <c r="Z231" s="242"/>
      <c r="AA231" s="242"/>
      <c r="AB231" s="242"/>
      <c r="AC231" s="242"/>
      <c r="AD231" s="242"/>
      <c r="AE231" s="242"/>
    </row>
    <row r="232" spans="1:256" s="481" customFormat="1" ht="12.75" customHeight="1">
      <c r="A232" s="1096"/>
      <c r="B232" s="1098"/>
      <c r="C232" s="1109"/>
      <c r="D232" s="1102"/>
      <c r="E232" s="1103"/>
      <c r="F232" s="1052">
        <f>F231*$J$13/1000</f>
        <v>2.4772200000000001E-2</v>
      </c>
      <c r="G232" s="1052"/>
      <c r="H232" s="1052"/>
      <c r="I232" s="1052">
        <f>I231*$Q$13/1000</f>
        <v>0.72319856400000004</v>
      </c>
      <c r="J232" s="1052"/>
      <c r="K232" s="1052"/>
      <c r="L232" s="390"/>
      <c r="M232" s="509"/>
      <c r="N232" s="509"/>
      <c r="O232" s="509"/>
      <c r="P232" s="391"/>
      <c r="Q232" s="392"/>
      <c r="R232" s="1104"/>
      <c r="S232" s="1045"/>
      <c r="T232" s="1045"/>
      <c r="U232" s="1106"/>
      <c r="V232" s="273">
        <f t="shared" si="17"/>
        <v>0</v>
      </c>
      <c r="W232" s="274">
        <f t="shared" si="18"/>
        <v>0</v>
      </c>
      <c r="X232" s="567"/>
      <c r="Y232" s="242"/>
      <c r="Z232" s="242"/>
      <c r="AA232" s="242"/>
      <c r="AB232" s="242"/>
      <c r="AC232" s="242"/>
      <c r="AD232" s="242"/>
      <c r="AE232" s="242"/>
    </row>
    <row r="233" spans="1:256" s="481" customFormat="1" ht="12.75" customHeight="1">
      <c r="A233" s="1095">
        <f>+A231+1</f>
        <v>77</v>
      </c>
      <c r="B233" s="1097" t="s">
        <v>241</v>
      </c>
      <c r="C233" s="1108" t="s">
        <v>354</v>
      </c>
      <c r="D233" s="1101" t="s">
        <v>180</v>
      </c>
      <c r="E233" s="1101">
        <v>10</v>
      </c>
      <c r="F233" s="1052">
        <f>0.001*14.3</f>
        <v>1.43E-2</v>
      </c>
      <c r="G233" s="1052"/>
      <c r="H233" s="1052"/>
      <c r="I233" s="1052">
        <f>0.001*302.7</f>
        <v>0.30269999999999997</v>
      </c>
      <c r="J233" s="1052"/>
      <c r="K233" s="1052"/>
      <c r="L233" s="387"/>
      <c r="M233" s="661"/>
      <c r="N233" s="661"/>
      <c r="O233" s="661"/>
      <c r="P233" s="662"/>
      <c r="Q233" s="389"/>
      <c r="R233" s="1044">
        <f>F234+I234</f>
        <v>1.0089636869999998</v>
      </c>
      <c r="S233" s="1044">
        <f>R233+R234</f>
        <v>1.0089636869999998</v>
      </c>
      <c r="T233" s="1044">
        <f>E233*S233</f>
        <v>10.089636869999998</v>
      </c>
      <c r="U233" s="1105"/>
      <c r="V233" s="273">
        <f t="shared" si="17"/>
        <v>1.3398403895393307</v>
      </c>
      <c r="W233" s="274">
        <f t="shared" si="18"/>
        <v>13.398403895393308</v>
      </c>
      <c r="X233" s="567"/>
      <c r="Y233" s="242"/>
      <c r="Z233" s="242"/>
      <c r="AA233" s="242"/>
      <c r="AB233" s="242"/>
      <c r="AC233" s="242"/>
      <c r="AD233" s="242"/>
      <c r="AE233" s="242"/>
    </row>
    <row r="234" spans="1:256" s="481" customFormat="1" ht="12.75" customHeight="1">
      <c r="A234" s="1096"/>
      <c r="B234" s="1098"/>
      <c r="C234" s="1109"/>
      <c r="D234" s="1102"/>
      <c r="E234" s="1103"/>
      <c r="F234" s="1052">
        <f>F233*$J$13/1000</f>
        <v>3.34191E-2</v>
      </c>
      <c r="G234" s="1052"/>
      <c r="H234" s="1052"/>
      <c r="I234" s="1052">
        <f>I233*$Q$13/1000</f>
        <v>0.97554458699999991</v>
      </c>
      <c r="J234" s="1052"/>
      <c r="K234" s="1052"/>
      <c r="L234" s="390"/>
      <c r="M234" s="509"/>
      <c r="N234" s="509"/>
      <c r="O234" s="509"/>
      <c r="P234" s="391"/>
      <c r="Q234" s="392"/>
      <c r="R234" s="1104"/>
      <c r="S234" s="1045"/>
      <c r="T234" s="1045"/>
      <c r="U234" s="1106"/>
      <c r="V234" s="273">
        <f t="shared" si="17"/>
        <v>0</v>
      </c>
      <c r="W234" s="274">
        <f t="shared" si="18"/>
        <v>0</v>
      </c>
      <c r="X234" s="567"/>
      <c r="Y234" s="242"/>
      <c r="Z234" s="242"/>
      <c r="AA234" s="242"/>
      <c r="AB234" s="242"/>
      <c r="AC234" s="242"/>
      <c r="AD234" s="242"/>
      <c r="AE234" s="242"/>
    </row>
    <row r="235" spans="1:256" s="481" customFormat="1" ht="12.75" customHeight="1">
      <c r="A235" s="1095">
        <f>+A233+1</f>
        <v>78</v>
      </c>
      <c r="B235" s="1097" t="s">
        <v>343</v>
      </c>
      <c r="C235" s="1099" t="s">
        <v>385</v>
      </c>
      <c r="D235" s="1101" t="s">
        <v>180</v>
      </c>
      <c r="E235" s="1101">
        <v>5</v>
      </c>
      <c r="F235" s="1052">
        <f>0.001*16.8</f>
        <v>1.6800000000000002E-2</v>
      </c>
      <c r="G235" s="1052"/>
      <c r="H235" s="1052"/>
      <c r="I235" s="1052">
        <f>0.001*355.2</f>
        <v>0.35520000000000002</v>
      </c>
      <c r="J235" s="1052"/>
      <c r="K235" s="1052"/>
      <c r="L235" s="387"/>
      <c r="M235" s="661"/>
      <c r="N235" s="661"/>
      <c r="O235" s="661"/>
      <c r="P235" s="662"/>
      <c r="Q235" s="389"/>
      <c r="R235" s="1044">
        <f>F236+I236</f>
        <v>1.184003712</v>
      </c>
      <c r="S235" s="1044">
        <f>R235+R236</f>
        <v>1.184003712</v>
      </c>
      <c r="T235" s="1044">
        <f>E235*S235</f>
        <v>5.9200185599999999</v>
      </c>
      <c r="U235" s="1105"/>
      <c r="V235" s="273">
        <f t="shared" si="17"/>
        <v>1.5722825460834386</v>
      </c>
      <c r="W235" s="274">
        <f t="shared" si="18"/>
        <v>7.861412730417193</v>
      </c>
      <c r="X235" s="567"/>
      <c r="Y235" s="242"/>
      <c r="Z235" s="242"/>
      <c r="AA235" s="242"/>
      <c r="AB235" s="242"/>
      <c r="AC235" s="242"/>
      <c r="AD235" s="242"/>
      <c r="AE235" s="242"/>
    </row>
    <row r="236" spans="1:256" s="481" customFormat="1" ht="12.75" customHeight="1">
      <c r="A236" s="1096"/>
      <c r="B236" s="1098"/>
      <c r="C236" s="1100"/>
      <c r="D236" s="1102"/>
      <c r="E236" s="1103"/>
      <c r="F236" s="1052">
        <f>F235*$J$13/1000</f>
        <v>3.9261600000000008E-2</v>
      </c>
      <c r="G236" s="1052"/>
      <c r="H236" s="1052"/>
      <c r="I236" s="1052">
        <f>I235*$Q$13/1000</f>
        <v>1.1447421120000001</v>
      </c>
      <c r="J236" s="1052"/>
      <c r="K236" s="1052"/>
      <c r="L236" s="390"/>
      <c r="M236" s="509"/>
      <c r="N236" s="509"/>
      <c r="O236" s="509"/>
      <c r="P236" s="391"/>
      <c r="Q236" s="392"/>
      <c r="R236" s="1104"/>
      <c r="S236" s="1045"/>
      <c r="T236" s="1045"/>
      <c r="U236" s="1106"/>
      <c r="V236" s="273">
        <f t="shared" si="17"/>
        <v>0</v>
      </c>
      <c r="W236" s="274">
        <f t="shared" si="18"/>
        <v>0</v>
      </c>
      <c r="X236" s="567"/>
      <c r="Y236" s="242"/>
      <c r="Z236" s="242"/>
      <c r="AA236" s="242"/>
      <c r="AB236" s="242"/>
      <c r="AC236" s="242"/>
      <c r="AD236" s="242"/>
      <c r="AE236" s="242"/>
    </row>
    <row r="237" spans="1:256" s="420" customFormat="1" ht="12.75" customHeight="1">
      <c r="A237" s="1095">
        <f>+A235+1</f>
        <v>79</v>
      </c>
      <c r="B237" s="1097" t="s">
        <v>332</v>
      </c>
      <c r="C237" s="1108" t="s">
        <v>522</v>
      </c>
      <c r="D237" s="1101" t="s">
        <v>180</v>
      </c>
      <c r="E237" s="1101">
        <v>16</v>
      </c>
      <c r="F237" s="1052"/>
      <c r="G237" s="1052"/>
      <c r="H237" s="1052"/>
      <c r="I237" s="1052">
        <f>0.001*25</f>
        <v>2.5000000000000001E-2</v>
      </c>
      <c r="J237" s="1052"/>
      <c r="K237" s="1052"/>
      <c r="L237" s="393"/>
      <c r="M237" s="394"/>
      <c r="N237" s="395"/>
      <c r="O237" s="395"/>
      <c r="P237" s="396"/>
      <c r="Q237" s="397"/>
      <c r="R237" s="1044">
        <f>F238+I238</f>
        <v>8.0570249999999996E-2</v>
      </c>
      <c r="S237" s="1044">
        <f>R237+R238</f>
        <v>8.0570249999999996E-2</v>
      </c>
      <c r="T237" s="1044">
        <f>E237*S237</f>
        <v>1.2891239999999999</v>
      </c>
      <c r="U237" s="1046"/>
      <c r="V237" s="273">
        <f t="shared" si="17"/>
        <v>0.10699223028160504</v>
      </c>
      <c r="W237" s="274">
        <f t="shared" si="18"/>
        <v>1.7118756845056806</v>
      </c>
      <c r="X237" s="567"/>
      <c r="Y237" s="242"/>
      <c r="Z237" s="242"/>
      <c r="AA237" s="242"/>
      <c r="AB237" s="242"/>
      <c r="AC237" s="242"/>
      <c r="AD237" s="242"/>
      <c r="AE237" s="242"/>
    </row>
    <row r="238" spans="1:256" s="420" customFormat="1" ht="12.75" customHeight="1">
      <c r="A238" s="1107"/>
      <c r="B238" s="1098"/>
      <c r="C238" s="1109"/>
      <c r="D238" s="1102"/>
      <c r="E238" s="1102"/>
      <c r="F238" s="1052"/>
      <c r="G238" s="1052"/>
      <c r="H238" s="1052"/>
      <c r="I238" s="1052">
        <f>I237*$Q$13/1000</f>
        <v>8.0570249999999996E-2</v>
      </c>
      <c r="J238" s="1052"/>
      <c r="K238" s="1052"/>
      <c r="L238" s="390"/>
      <c r="M238" s="401"/>
      <c r="N238" s="402"/>
      <c r="O238" s="402"/>
      <c r="P238" s="391"/>
      <c r="Q238" s="403"/>
      <c r="R238" s="1045"/>
      <c r="S238" s="1045"/>
      <c r="T238" s="1045"/>
      <c r="U238" s="1047"/>
      <c r="V238" s="273">
        <f t="shared" si="17"/>
        <v>0</v>
      </c>
      <c r="W238" s="274">
        <f t="shared" si="18"/>
        <v>0</v>
      </c>
      <c r="X238" s="567"/>
      <c r="Y238" s="242"/>
      <c r="Z238" s="242"/>
      <c r="AA238" s="242"/>
      <c r="AB238" s="242"/>
      <c r="AC238" s="242"/>
      <c r="AD238" s="242"/>
      <c r="AE238" s="242"/>
    </row>
    <row r="239" spans="1:256" s="562" customFormat="1" ht="12.75">
      <c r="A239" s="1095">
        <f>+A237+1</f>
        <v>80</v>
      </c>
      <c r="B239" s="970" t="s">
        <v>370</v>
      </c>
      <c r="C239" s="972" t="s">
        <v>513</v>
      </c>
      <c r="D239" s="974" t="s">
        <v>180</v>
      </c>
      <c r="E239" s="976">
        <v>1.25</v>
      </c>
      <c r="F239" s="978">
        <v>0.45</v>
      </c>
      <c r="G239" s="978"/>
      <c r="H239" s="978"/>
      <c r="I239" s="978">
        <v>0.37</v>
      </c>
      <c r="J239" s="978"/>
      <c r="K239" s="978"/>
      <c r="L239" s="724"/>
      <c r="M239" s="725"/>
      <c r="N239" s="726"/>
      <c r="O239" s="726"/>
      <c r="P239" s="726"/>
      <c r="Q239" s="763"/>
      <c r="R239" s="796">
        <f>F240+I240</f>
        <v>2.2440897</v>
      </c>
      <c r="S239" s="976">
        <f>R239+R240</f>
        <v>7.5456039600000011</v>
      </c>
      <c r="T239" s="976">
        <f>E239*S239</f>
        <v>9.4320049500000014</v>
      </c>
      <c r="U239" s="980">
        <f>E239*Q240</f>
        <v>6.6268928250000014</v>
      </c>
      <c r="V239" s="273">
        <f t="shared" si="17"/>
        <v>10.020088016384596</v>
      </c>
      <c r="W239" s="274">
        <f t="shared" si="18"/>
        <v>12.525110020480746</v>
      </c>
      <c r="X239" s="567"/>
      <c r="Y239" s="727"/>
      <c r="Z239" s="727"/>
      <c r="AA239" s="727"/>
      <c r="AB239" s="727"/>
      <c r="AC239" s="727"/>
      <c r="AD239" s="727"/>
      <c r="AE239" s="727"/>
      <c r="AF239" s="727"/>
      <c r="AG239" s="727"/>
      <c r="AH239" s="727"/>
      <c r="AI239" s="727"/>
      <c r="AJ239" s="727"/>
      <c r="AK239" s="727"/>
      <c r="AL239" s="727"/>
      <c r="AM239" s="727"/>
      <c r="AN239" s="727"/>
      <c r="AO239" s="727"/>
      <c r="AP239" s="727"/>
      <c r="AQ239" s="727"/>
      <c r="AR239" s="727"/>
      <c r="AS239" s="727"/>
      <c r="AT239" s="727"/>
      <c r="AU239" s="727"/>
      <c r="AV239" s="727"/>
      <c r="AW239" s="727"/>
      <c r="AX239" s="727"/>
      <c r="AY239" s="727"/>
      <c r="AZ239" s="727"/>
      <c r="BA239" s="727"/>
      <c r="BB239" s="727"/>
      <c r="BC239" s="727"/>
      <c r="BD239" s="727"/>
      <c r="BE239" s="727"/>
      <c r="BF239" s="727"/>
      <c r="BG239" s="727"/>
      <c r="BH239" s="727"/>
      <c r="BI239" s="727"/>
      <c r="BJ239" s="727"/>
      <c r="BK239" s="727"/>
      <c r="BL239" s="727"/>
      <c r="BM239" s="727"/>
      <c r="BN239" s="727"/>
      <c r="BO239" s="727"/>
      <c r="BP239" s="727"/>
      <c r="BQ239" s="727"/>
      <c r="BR239" s="727"/>
      <c r="BS239" s="727"/>
      <c r="BT239" s="727"/>
      <c r="BU239" s="727"/>
      <c r="BV239" s="727"/>
      <c r="BW239" s="727"/>
      <c r="BX239" s="727"/>
      <c r="BY239" s="727"/>
      <c r="BZ239" s="727"/>
      <c r="CA239" s="727"/>
      <c r="CB239" s="727"/>
      <c r="CC239" s="727"/>
      <c r="CD239" s="727"/>
      <c r="CE239" s="727"/>
      <c r="CF239" s="727"/>
      <c r="CG239" s="727"/>
      <c r="CH239" s="727"/>
      <c r="CI239" s="727"/>
      <c r="CJ239" s="727"/>
      <c r="CK239" s="727"/>
      <c r="CL239" s="727"/>
      <c r="CM239" s="727"/>
      <c r="CN239" s="727"/>
      <c r="CO239" s="727"/>
      <c r="CP239" s="727"/>
      <c r="CQ239" s="727"/>
      <c r="CR239" s="727"/>
      <c r="CS239" s="727"/>
      <c r="CT239" s="727"/>
      <c r="CU239" s="727"/>
      <c r="CV239" s="727"/>
      <c r="CW239" s="727"/>
      <c r="CX239" s="727"/>
      <c r="CY239" s="727"/>
      <c r="CZ239" s="727"/>
      <c r="DA239" s="727"/>
      <c r="DB239" s="727"/>
      <c r="DC239" s="727"/>
      <c r="DD239" s="727"/>
      <c r="DE239" s="727"/>
      <c r="DF239" s="727"/>
      <c r="DG239" s="727"/>
      <c r="DH239" s="727"/>
      <c r="DI239" s="727"/>
      <c r="DJ239" s="727"/>
      <c r="DK239" s="727"/>
      <c r="DL239" s="727"/>
      <c r="DM239" s="727"/>
      <c r="DN239" s="727"/>
      <c r="DO239" s="727"/>
      <c r="DP239" s="727"/>
      <c r="DQ239" s="727"/>
      <c r="DR239" s="727"/>
      <c r="DS239" s="727"/>
      <c r="DT239" s="727"/>
      <c r="DU239" s="727"/>
      <c r="DV239" s="727"/>
      <c r="DW239" s="727"/>
      <c r="DX239" s="727"/>
      <c r="DY239" s="727"/>
      <c r="DZ239" s="727"/>
      <c r="EA239" s="727"/>
      <c r="EB239" s="727"/>
      <c r="EC239" s="727"/>
      <c r="ED239" s="727"/>
      <c r="EE239" s="727"/>
      <c r="EF239" s="727"/>
      <c r="EG239" s="727"/>
      <c r="EH239" s="727"/>
      <c r="EI239" s="727"/>
      <c r="EJ239" s="727"/>
      <c r="EK239" s="727"/>
      <c r="EL239" s="727"/>
      <c r="EM239" s="727"/>
      <c r="EN239" s="727"/>
      <c r="EO239" s="727"/>
      <c r="EP239" s="727"/>
      <c r="EQ239" s="727"/>
      <c r="ER239" s="727"/>
      <c r="ES239" s="727"/>
      <c r="ET239" s="727"/>
      <c r="EU239" s="727"/>
      <c r="EV239" s="727"/>
      <c r="EW239" s="727"/>
      <c r="EX239" s="727"/>
      <c r="EY239" s="727"/>
      <c r="EZ239" s="727"/>
      <c r="FA239" s="727"/>
      <c r="FB239" s="727"/>
      <c r="FC239" s="727"/>
      <c r="FD239" s="727"/>
      <c r="FE239" s="727"/>
      <c r="FF239" s="727"/>
      <c r="FG239" s="727"/>
      <c r="FH239" s="727"/>
      <c r="FI239" s="727"/>
      <c r="FJ239" s="727"/>
      <c r="FK239" s="727"/>
      <c r="FL239" s="727"/>
      <c r="FM239" s="727"/>
      <c r="FN239" s="727"/>
      <c r="FO239" s="727"/>
      <c r="FP239" s="727"/>
      <c r="FQ239" s="727"/>
      <c r="FR239" s="727"/>
      <c r="FS239" s="727"/>
      <c r="FT239" s="727"/>
      <c r="FU239" s="727"/>
      <c r="FV239" s="727"/>
      <c r="FW239" s="727"/>
      <c r="FX239" s="727"/>
      <c r="FY239" s="727"/>
      <c r="FZ239" s="727"/>
      <c r="GA239" s="727"/>
      <c r="GB239" s="727"/>
      <c r="GC239" s="727"/>
      <c r="GD239" s="727"/>
      <c r="GE239" s="727"/>
      <c r="GF239" s="727"/>
      <c r="GG239" s="727"/>
      <c r="GH239" s="727"/>
      <c r="GI239" s="727"/>
      <c r="GJ239" s="727"/>
      <c r="GK239" s="727"/>
      <c r="GL239" s="727"/>
      <c r="GM239" s="727"/>
      <c r="GN239" s="727"/>
      <c r="GO239" s="727"/>
      <c r="GP239" s="727"/>
      <c r="GQ239" s="727"/>
      <c r="GR239" s="727"/>
      <c r="GS239" s="727"/>
      <c r="GT239" s="727"/>
      <c r="GU239" s="727"/>
      <c r="GV239" s="727"/>
      <c r="GW239" s="727"/>
      <c r="GX239" s="727"/>
      <c r="GY239" s="727"/>
      <c r="GZ239" s="727"/>
      <c r="HA239" s="727"/>
      <c r="HB239" s="727"/>
      <c r="HC239" s="727"/>
      <c r="HD239" s="727"/>
      <c r="HE239" s="727"/>
      <c r="HF239" s="727"/>
      <c r="HG239" s="727"/>
      <c r="HH239" s="727"/>
      <c r="HI239" s="727"/>
      <c r="HJ239" s="727"/>
      <c r="HK239" s="727"/>
      <c r="HL239" s="727"/>
      <c r="HM239" s="727"/>
      <c r="HN239" s="727"/>
      <c r="HO239" s="727"/>
      <c r="HP239" s="727"/>
      <c r="HQ239" s="727"/>
      <c r="HR239" s="727"/>
      <c r="HS239" s="727"/>
      <c r="HT239" s="727"/>
      <c r="HU239" s="727"/>
      <c r="HV239" s="727"/>
      <c r="HW239" s="727"/>
      <c r="HX239" s="727"/>
      <c r="HY239" s="727"/>
      <c r="HZ239" s="727"/>
      <c r="IA239" s="727"/>
      <c r="IB239" s="727"/>
      <c r="IC239" s="727"/>
      <c r="ID239" s="727"/>
      <c r="IE239" s="727"/>
      <c r="IF239" s="727"/>
      <c r="IG239" s="727"/>
      <c r="IH239" s="727"/>
      <c r="II239" s="727"/>
      <c r="IJ239" s="727"/>
      <c r="IK239" s="727"/>
      <c r="IL239" s="727"/>
      <c r="IM239" s="727"/>
      <c r="IN239" s="727"/>
      <c r="IO239" s="727"/>
      <c r="IP239" s="727"/>
      <c r="IQ239" s="727"/>
      <c r="IR239" s="727"/>
      <c r="IS239" s="727"/>
      <c r="IT239" s="727"/>
      <c r="IU239" s="727"/>
      <c r="IV239" s="727"/>
    </row>
    <row r="240" spans="1:256" s="562" customFormat="1" ht="23.25" customHeight="1">
      <c r="A240" s="1107"/>
      <c r="B240" s="971"/>
      <c r="C240" s="973"/>
      <c r="D240" s="975"/>
      <c r="E240" s="977"/>
      <c r="F240" s="978">
        <f>F239*$J$13/1000</f>
        <v>1.0516500000000002</v>
      </c>
      <c r="G240" s="978"/>
      <c r="H240" s="978"/>
      <c r="I240" s="978">
        <f>I239*$Q$13/1000</f>
        <v>1.1924397</v>
      </c>
      <c r="J240" s="978"/>
      <c r="K240" s="978"/>
      <c r="L240" s="919" t="s">
        <v>371</v>
      </c>
      <c r="M240" s="920" t="s">
        <v>180</v>
      </c>
      <c r="N240" s="921">
        <v>1.1499999999999999</v>
      </c>
      <c r="O240" s="922">
        <f>E239*N240</f>
        <v>1.4375</v>
      </c>
      <c r="P240" s="923">
        <v>4</v>
      </c>
      <c r="Q240" s="924">
        <f>N240*P240*$N$11</f>
        <v>5.3015142600000011</v>
      </c>
      <c r="R240" s="926">
        <f>SUM(Q240:Q240)</f>
        <v>5.3015142600000011</v>
      </c>
      <c r="S240" s="977"/>
      <c r="T240" s="979"/>
      <c r="U240" s="981"/>
      <c r="V240" s="273">
        <f t="shared" si="17"/>
        <v>0</v>
      </c>
      <c r="W240" s="274">
        <f t="shared" si="18"/>
        <v>0</v>
      </c>
      <c r="X240" s="567"/>
      <c r="Y240" s="727"/>
      <c r="Z240" s="727"/>
      <c r="AA240" s="727"/>
      <c r="AB240" s="727"/>
      <c r="AC240" s="727"/>
      <c r="AD240" s="727"/>
      <c r="AE240" s="727"/>
      <c r="AF240" s="727"/>
      <c r="AG240" s="727"/>
      <c r="AH240" s="727"/>
      <c r="AI240" s="727"/>
      <c r="AJ240" s="727"/>
      <c r="AK240" s="727"/>
      <c r="AL240" s="727"/>
      <c r="AM240" s="727"/>
      <c r="AN240" s="727"/>
      <c r="AO240" s="727"/>
      <c r="AP240" s="727"/>
      <c r="AQ240" s="727"/>
      <c r="AR240" s="727"/>
      <c r="AS240" s="727"/>
      <c r="AT240" s="727"/>
      <c r="AU240" s="727"/>
      <c r="AV240" s="727"/>
      <c r="AW240" s="727"/>
      <c r="AX240" s="727"/>
      <c r="AY240" s="727"/>
      <c r="AZ240" s="727"/>
      <c r="BA240" s="727"/>
      <c r="BB240" s="727"/>
      <c r="BC240" s="727"/>
      <c r="BD240" s="727"/>
      <c r="BE240" s="727"/>
      <c r="BF240" s="727"/>
      <c r="BG240" s="727"/>
      <c r="BH240" s="727"/>
      <c r="BI240" s="727"/>
      <c r="BJ240" s="727"/>
      <c r="BK240" s="727"/>
      <c r="BL240" s="727"/>
      <c r="BM240" s="727"/>
      <c r="BN240" s="727"/>
      <c r="BO240" s="727"/>
      <c r="BP240" s="727"/>
      <c r="BQ240" s="727"/>
      <c r="BR240" s="727"/>
      <c r="BS240" s="727"/>
      <c r="BT240" s="727"/>
      <c r="BU240" s="727"/>
      <c r="BV240" s="727"/>
      <c r="BW240" s="727"/>
      <c r="BX240" s="727"/>
      <c r="BY240" s="727"/>
      <c r="BZ240" s="727"/>
      <c r="CA240" s="727"/>
      <c r="CB240" s="727"/>
      <c r="CC240" s="727"/>
      <c r="CD240" s="727"/>
      <c r="CE240" s="727"/>
      <c r="CF240" s="727"/>
      <c r="CG240" s="727"/>
      <c r="CH240" s="727"/>
      <c r="CI240" s="727"/>
      <c r="CJ240" s="727"/>
      <c r="CK240" s="727"/>
      <c r="CL240" s="727"/>
      <c r="CM240" s="727"/>
      <c r="CN240" s="727"/>
      <c r="CO240" s="727"/>
      <c r="CP240" s="727"/>
      <c r="CQ240" s="727"/>
      <c r="CR240" s="727"/>
      <c r="CS240" s="727"/>
      <c r="CT240" s="727"/>
      <c r="CU240" s="727"/>
      <c r="CV240" s="727"/>
      <c r="CW240" s="727"/>
      <c r="CX240" s="727"/>
      <c r="CY240" s="727"/>
      <c r="CZ240" s="727"/>
      <c r="DA240" s="727"/>
      <c r="DB240" s="727"/>
      <c r="DC240" s="727"/>
      <c r="DD240" s="727"/>
      <c r="DE240" s="727"/>
      <c r="DF240" s="727"/>
      <c r="DG240" s="727"/>
      <c r="DH240" s="727"/>
      <c r="DI240" s="727"/>
      <c r="DJ240" s="727"/>
      <c r="DK240" s="727"/>
      <c r="DL240" s="727"/>
      <c r="DM240" s="727"/>
      <c r="DN240" s="727"/>
      <c r="DO240" s="727"/>
      <c r="DP240" s="727"/>
      <c r="DQ240" s="727"/>
      <c r="DR240" s="727"/>
      <c r="DS240" s="727"/>
      <c r="DT240" s="727"/>
      <c r="DU240" s="727"/>
      <c r="DV240" s="727"/>
      <c r="DW240" s="727"/>
      <c r="DX240" s="727"/>
      <c r="DY240" s="727"/>
      <c r="DZ240" s="727"/>
      <c r="EA240" s="727"/>
      <c r="EB240" s="727"/>
      <c r="EC240" s="727"/>
      <c r="ED240" s="727"/>
      <c r="EE240" s="727"/>
      <c r="EF240" s="727"/>
      <c r="EG240" s="727"/>
      <c r="EH240" s="727"/>
      <c r="EI240" s="727"/>
      <c r="EJ240" s="727"/>
      <c r="EK240" s="727"/>
      <c r="EL240" s="727"/>
      <c r="EM240" s="727"/>
      <c r="EN240" s="727"/>
      <c r="EO240" s="727"/>
      <c r="EP240" s="727"/>
      <c r="EQ240" s="727"/>
      <c r="ER240" s="727"/>
      <c r="ES240" s="727"/>
      <c r="ET240" s="727"/>
      <c r="EU240" s="727"/>
      <c r="EV240" s="727"/>
      <c r="EW240" s="727"/>
      <c r="EX240" s="727"/>
      <c r="EY240" s="727"/>
      <c r="EZ240" s="727"/>
      <c r="FA240" s="727"/>
      <c r="FB240" s="727"/>
      <c r="FC240" s="727"/>
      <c r="FD240" s="727"/>
      <c r="FE240" s="727"/>
      <c r="FF240" s="727"/>
      <c r="FG240" s="727"/>
      <c r="FH240" s="727"/>
      <c r="FI240" s="727"/>
      <c r="FJ240" s="727"/>
      <c r="FK240" s="727"/>
      <c r="FL240" s="727"/>
      <c r="FM240" s="727"/>
      <c r="FN240" s="727"/>
      <c r="FO240" s="727"/>
      <c r="FP240" s="727"/>
      <c r="FQ240" s="727"/>
      <c r="FR240" s="727"/>
      <c r="FS240" s="727"/>
      <c r="FT240" s="727"/>
      <c r="FU240" s="727"/>
      <c r="FV240" s="727"/>
      <c r="FW240" s="727"/>
      <c r="FX240" s="727"/>
      <c r="FY240" s="727"/>
      <c r="FZ240" s="727"/>
      <c r="GA240" s="727"/>
      <c r="GB240" s="727"/>
      <c r="GC240" s="727"/>
      <c r="GD240" s="727"/>
      <c r="GE240" s="727"/>
      <c r="GF240" s="727"/>
      <c r="GG240" s="727"/>
      <c r="GH240" s="727"/>
      <c r="GI240" s="727"/>
      <c r="GJ240" s="727"/>
      <c r="GK240" s="727"/>
      <c r="GL240" s="727"/>
      <c r="GM240" s="727"/>
      <c r="GN240" s="727"/>
      <c r="GO240" s="727"/>
      <c r="GP240" s="727"/>
      <c r="GQ240" s="727"/>
      <c r="GR240" s="727"/>
      <c r="GS240" s="727"/>
      <c r="GT240" s="727"/>
      <c r="GU240" s="727"/>
      <c r="GV240" s="727"/>
      <c r="GW240" s="727"/>
      <c r="GX240" s="727"/>
      <c r="GY240" s="727"/>
      <c r="GZ240" s="727"/>
      <c r="HA240" s="727"/>
      <c r="HB240" s="727"/>
      <c r="HC240" s="727"/>
      <c r="HD240" s="727"/>
      <c r="HE240" s="727"/>
      <c r="HF240" s="727"/>
      <c r="HG240" s="727"/>
      <c r="HH240" s="727"/>
      <c r="HI240" s="727"/>
      <c r="HJ240" s="727"/>
      <c r="HK240" s="727"/>
      <c r="HL240" s="727"/>
      <c r="HM240" s="727"/>
      <c r="HN240" s="727"/>
      <c r="HO240" s="727"/>
      <c r="HP240" s="727"/>
      <c r="HQ240" s="727"/>
      <c r="HR240" s="727"/>
      <c r="HS240" s="727"/>
      <c r="HT240" s="727"/>
      <c r="HU240" s="727"/>
      <c r="HV240" s="727"/>
      <c r="HW240" s="727"/>
      <c r="HX240" s="727"/>
      <c r="HY240" s="727"/>
      <c r="HZ240" s="727"/>
      <c r="IA240" s="727"/>
      <c r="IB240" s="727"/>
      <c r="IC240" s="727"/>
      <c r="ID240" s="727"/>
      <c r="IE240" s="727"/>
      <c r="IF240" s="727"/>
      <c r="IG240" s="727"/>
      <c r="IH240" s="727"/>
      <c r="II240" s="727"/>
      <c r="IJ240" s="727"/>
      <c r="IK240" s="727"/>
      <c r="IL240" s="727"/>
      <c r="IM240" s="727"/>
      <c r="IN240" s="727"/>
      <c r="IO240" s="727"/>
      <c r="IP240" s="727"/>
      <c r="IQ240" s="727"/>
      <c r="IR240" s="727"/>
      <c r="IS240" s="727"/>
      <c r="IT240" s="727"/>
      <c r="IU240" s="727"/>
      <c r="IV240" s="727"/>
    </row>
    <row r="241" spans="1:39" s="721" customFormat="1" ht="12.75" customHeight="1">
      <c r="A241" s="1075">
        <f t="shared" ref="A241" si="20">+A239+1</f>
        <v>81</v>
      </c>
      <c r="B241" s="1076" t="s">
        <v>498</v>
      </c>
      <c r="C241" s="1078" t="s">
        <v>514</v>
      </c>
      <c r="D241" s="1080" t="s">
        <v>184</v>
      </c>
      <c r="E241" s="1082">
        <v>2</v>
      </c>
      <c r="F241" s="1088">
        <v>1.82</v>
      </c>
      <c r="G241" s="1089"/>
      <c r="H241" s="1090"/>
      <c r="I241" s="1427">
        <v>1.06</v>
      </c>
      <c r="J241" s="1428"/>
      <c r="K241" s="1429"/>
      <c r="L241" s="864"/>
      <c r="M241" s="898"/>
      <c r="N241" s="797"/>
      <c r="O241" s="797"/>
      <c r="P241" s="797"/>
      <c r="Q241" s="786"/>
      <c r="R241" s="927">
        <f>F242+I242</f>
        <v>7.6695186000000009</v>
      </c>
      <c r="S241" s="1084">
        <f>R241+R242</f>
        <v>13.385933976000002</v>
      </c>
      <c r="T241" s="1084">
        <f>E241*S241</f>
        <v>26.771867952000004</v>
      </c>
      <c r="U241" s="1086">
        <f>R242*E241</f>
        <v>11.432830752000003</v>
      </c>
      <c r="V241" s="273">
        <f t="shared" si="17"/>
        <v>17.775679366696185</v>
      </c>
      <c r="W241" s="274">
        <f t="shared" si="18"/>
        <v>35.55135873339237</v>
      </c>
      <c r="X241" s="567"/>
      <c r="Y241" s="888"/>
      <c r="Z241" s="888"/>
      <c r="AA241" s="888"/>
      <c r="AB241" s="888"/>
      <c r="AC241" s="888"/>
      <c r="AD241" s="888"/>
      <c r="AE241" s="888"/>
    </row>
    <row r="242" spans="1:39" s="721" customFormat="1" ht="15" customHeight="1">
      <c r="A242" s="969"/>
      <c r="B242" s="1077"/>
      <c r="C242" s="1079"/>
      <c r="D242" s="1081"/>
      <c r="E242" s="1083"/>
      <c r="F242" s="1088">
        <f>F241*J$13/1000</f>
        <v>4.2533400000000006</v>
      </c>
      <c r="G242" s="1089"/>
      <c r="H242" s="1090"/>
      <c r="I242" s="1088">
        <f>I241*$Q$13/1000</f>
        <v>3.4161786000000003</v>
      </c>
      <c r="J242" s="1089"/>
      <c r="K242" s="1090"/>
      <c r="L242" s="832" t="s">
        <v>371</v>
      </c>
      <c r="M242" s="243" t="s">
        <v>184</v>
      </c>
      <c r="N242" s="244">
        <v>1.24</v>
      </c>
      <c r="O242" s="247">
        <f>E241*N242</f>
        <v>2.48</v>
      </c>
      <c r="P242" s="240">
        <v>4</v>
      </c>
      <c r="Q242" s="245">
        <f>N242*P242*$N$11</f>
        <v>5.7164153760000014</v>
      </c>
      <c r="R242" s="911">
        <f>SUM(Q242:Q242)</f>
        <v>5.7164153760000014</v>
      </c>
      <c r="S242" s="1085"/>
      <c r="T242" s="1085"/>
      <c r="U242" s="1087"/>
      <c r="V242" s="273">
        <f t="shared" si="17"/>
        <v>0</v>
      </c>
      <c r="W242" s="274">
        <f t="shared" si="18"/>
        <v>0</v>
      </c>
      <c r="X242" s="567"/>
      <c r="Y242" s="888"/>
      <c r="Z242" s="888"/>
      <c r="AA242" s="888"/>
      <c r="AB242" s="888"/>
      <c r="AC242" s="888"/>
      <c r="AD242" s="888"/>
      <c r="AE242" s="888"/>
    </row>
    <row r="243" spans="1:39" s="565" customFormat="1" ht="12" customHeight="1">
      <c r="A243" s="1075">
        <f t="shared" ref="A243:A245" si="21">+A241+1</f>
        <v>82</v>
      </c>
      <c r="B243" s="1091" t="s">
        <v>350</v>
      </c>
      <c r="C243" s="1057" t="s">
        <v>515</v>
      </c>
      <c r="D243" s="1058" t="s">
        <v>352</v>
      </c>
      <c r="E243" s="1059">
        <v>17.100000000000001</v>
      </c>
      <c r="F243" s="1060">
        <f>14.5/100</f>
        <v>0.14499999999999999</v>
      </c>
      <c r="G243" s="1060"/>
      <c r="H243" s="1060"/>
      <c r="I243" s="1061">
        <f>1.5/100</f>
        <v>1.4999999999999999E-2</v>
      </c>
      <c r="J243" s="1061"/>
      <c r="K243" s="1061"/>
      <c r="L243" s="639"/>
      <c r="M243" s="640"/>
      <c r="N243" s="641"/>
      <c r="O243" s="642"/>
      <c r="P243" s="643"/>
      <c r="Q243" s="644"/>
      <c r="R243" s="798">
        <f>F244+I244</f>
        <v>0.38720714999999994</v>
      </c>
      <c r="S243" s="1059">
        <f>R243+R244</f>
        <v>0.84498138132</v>
      </c>
      <c r="T243" s="1059">
        <f>E243*S243</f>
        <v>14.449181620572002</v>
      </c>
      <c r="U243" s="1092">
        <f>E243*Q244</f>
        <v>7.8279393555720027</v>
      </c>
      <c r="V243" s="273">
        <f t="shared" si="17"/>
        <v>1.1220821895657287</v>
      </c>
      <c r="W243" s="274">
        <f t="shared" si="18"/>
        <v>19.187605441573961</v>
      </c>
      <c r="X243" s="567"/>
      <c r="Y243" s="645">
        <v>1</v>
      </c>
      <c r="Z243" s="645"/>
      <c r="AA243" s="646"/>
      <c r="AB243" s="647"/>
    </row>
    <row r="244" spans="1:39" s="565" customFormat="1" ht="16.5" customHeight="1">
      <c r="A244" s="969"/>
      <c r="B244" s="1091"/>
      <c r="C244" s="1057"/>
      <c r="D244" s="1058"/>
      <c r="E244" s="1059"/>
      <c r="F244" s="1059">
        <f>F243*$J$13/1000</f>
        <v>0.33886499999999997</v>
      </c>
      <c r="G244" s="1059"/>
      <c r="H244" s="1059"/>
      <c r="I244" s="1059">
        <f>I243*$Q$13/1000</f>
        <v>4.8342149999999993E-2</v>
      </c>
      <c r="J244" s="1059"/>
      <c r="K244" s="1059"/>
      <c r="L244" s="246" t="s">
        <v>255</v>
      </c>
      <c r="M244" s="928" t="s">
        <v>124</v>
      </c>
      <c r="N244" s="929">
        <v>2.4</v>
      </c>
      <c r="O244" s="930">
        <f>E243*N244</f>
        <v>41.04</v>
      </c>
      <c r="P244" s="918">
        <v>0.16550000000000001</v>
      </c>
      <c r="Q244" s="931">
        <f>N244*P244*$N$11</f>
        <v>0.45777423132000011</v>
      </c>
      <c r="R244" s="798">
        <f>SUM(Q244:Q244)</f>
        <v>0.45777423132000011</v>
      </c>
      <c r="S244" s="1059"/>
      <c r="T244" s="1059"/>
      <c r="U244" s="1092"/>
      <c r="V244" s="273">
        <f t="shared" si="17"/>
        <v>0</v>
      </c>
      <c r="W244" s="274">
        <f t="shared" si="18"/>
        <v>0</v>
      </c>
      <c r="X244" s="567"/>
      <c r="Y244" s="645"/>
      <c r="Z244" s="645"/>
      <c r="AA244" s="645">
        <v>200</v>
      </c>
      <c r="AB244" s="647"/>
    </row>
    <row r="245" spans="1:39" s="565" customFormat="1" ht="12" customHeight="1">
      <c r="A245" s="1075">
        <f t="shared" si="21"/>
        <v>83</v>
      </c>
      <c r="B245" s="1091" t="s">
        <v>516</v>
      </c>
      <c r="C245" s="1057" t="s">
        <v>517</v>
      </c>
      <c r="D245" s="1058" t="s">
        <v>352</v>
      </c>
      <c r="E245" s="1059">
        <v>17.100000000000001</v>
      </c>
      <c r="F245" s="1060">
        <v>0.28199999999999997</v>
      </c>
      <c r="G245" s="1060"/>
      <c r="H245" s="1060"/>
      <c r="I245" s="1061">
        <v>3.3000000000000002E-2</v>
      </c>
      <c r="J245" s="1061"/>
      <c r="K245" s="1061"/>
      <c r="L245" s="639"/>
      <c r="M245" s="640"/>
      <c r="N245" s="641"/>
      <c r="O245" s="642"/>
      <c r="P245" s="643"/>
      <c r="Q245" s="644"/>
      <c r="R245" s="798">
        <f>F246+I246</f>
        <v>0.76538673000000002</v>
      </c>
      <c r="S245" s="1059">
        <f>R245+R246</f>
        <v>3.7474885012500008</v>
      </c>
      <c r="T245" s="1059">
        <f>E245*S245</f>
        <v>64.082053371375025</v>
      </c>
      <c r="U245" s="1092">
        <f>E245*Q246</f>
        <v>50.993940288375022</v>
      </c>
      <c r="V245" s="273">
        <f t="shared" si="17"/>
        <v>4.9764292986978074</v>
      </c>
      <c r="W245" s="274">
        <f t="shared" si="18"/>
        <v>85.096941007732511</v>
      </c>
      <c r="X245" s="567"/>
      <c r="Y245" s="645">
        <v>1</v>
      </c>
      <c r="Z245" s="645"/>
      <c r="AA245" s="646"/>
      <c r="AB245" s="647"/>
    </row>
    <row r="246" spans="1:39" s="565" customFormat="1" ht="16.5" customHeight="1">
      <c r="A246" s="969"/>
      <c r="B246" s="1091"/>
      <c r="C246" s="1057"/>
      <c r="D246" s="1058"/>
      <c r="E246" s="1059"/>
      <c r="F246" s="1059">
        <f>F245*$J$13/1000</f>
        <v>0.65903400000000001</v>
      </c>
      <c r="G246" s="1059"/>
      <c r="H246" s="1059"/>
      <c r="I246" s="1059">
        <f>I245*$Q$13/1000</f>
        <v>0.10635273000000001</v>
      </c>
      <c r="J246" s="1059"/>
      <c r="K246" s="1059"/>
      <c r="L246" s="246" t="s">
        <v>368</v>
      </c>
      <c r="M246" s="928" t="s">
        <v>186</v>
      </c>
      <c r="N246" s="929">
        <v>2.2999999999999998</v>
      </c>
      <c r="O246" s="930">
        <f>E245*N246</f>
        <v>39.33</v>
      </c>
      <c r="P246" s="918">
        <v>1.125</v>
      </c>
      <c r="Q246" s="931">
        <f>N246*P246*$N$11</f>
        <v>2.9821017712500009</v>
      </c>
      <c r="R246" s="798">
        <f>SUM(Q246:Q246)</f>
        <v>2.9821017712500009</v>
      </c>
      <c r="S246" s="1059"/>
      <c r="T246" s="1059"/>
      <c r="U246" s="1092"/>
      <c r="V246" s="273">
        <f t="shared" si="17"/>
        <v>0</v>
      </c>
      <c r="W246" s="274">
        <f t="shared" si="18"/>
        <v>0</v>
      </c>
      <c r="X246" s="567"/>
      <c r="Y246" s="645"/>
      <c r="Z246" s="645"/>
      <c r="AA246" s="645">
        <v>200</v>
      </c>
      <c r="AB246" s="647"/>
    </row>
    <row r="247" spans="1:39" s="810" customFormat="1" ht="12.75" customHeight="1">
      <c r="A247" s="1062">
        <f>+A245+1</f>
        <v>84</v>
      </c>
      <c r="B247" s="1064" t="s">
        <v>413</v>
      </c>
      <c r="C247" s="1066" t="s">
        <v>415</v>
      </c>
      <c r="D247" s="1068" t="s">
        <v>124</v>
      </c>
      <c r="E247" s="1069">
        <v>47</v>
      </c>
      <c r="F247" s="1347">
        <f>35.9/1000</f>
        <v>3.5900000000000001E-2</v>
      </c>
      <c r="G247" s="1347"/>
      <c r="H247" s="1347"/>
      <c r="I247" s="1348">
        <f>0.2/1000</f>
        <v>2.0000000000000001E-4</v>
      </c>
      <c r="J247" s="1348"/>
      <c r="K247" s="1348"/>
      <c r="L247" s="673"/>
      <c r="M247" s="674"/>
      <c r="N247" s="675"/>
      <c r="O247" s="676"/>
      <c r="P247" s="676"/>
      <c r="Q247" s="677"/>
      <c r="R247" s="868">
        <f>F248+I248</f>
        <v>8.454286200000001E-2</v>
      </c>
      <c r="S247" s="1071">
        <f>R247+R248</f>
        <v>0.60590068934700025</v>
      </c>
      <c r="T247" s="1071">
        <f>E247*S247</f>
        <v>28.477332399309013</v>
      </c>
      <c r="U247" s="1071">
        <f>R248*E247</f>
        <v>24.503817885309008</v>
      </c>
      <c r="V247" s="273">
        <f t="shared" si="17"/>
        <v>0.80459805055088562</v>
      </c>
      <c r="W247" s="274">
        <f t="shared" si="18"/>
        <v>37.816108375891623</v>
      </c>
      <c r="X247" s="567"/>
      <c r="Y247" s="869"/>
      <c r="Z247" s="869"/>
      <c r="AA247" s="869"/>
      <c r="AB247" s="869"/>
      <c r="AC247" s="869"/>
      <c r="AD247" s="869"/>
      <c r="AE247" s="869"/>
    </row>
    <row r="248" spans="1:39" s="810" customFormat="1" ht="22.5">
      <c r="A248" s="1063"/>
      <c r="B248" s="1065"/>
      <c r="C248" s="1067"/>
      <c r="D248" s="1063"/>
      <c r="E248" s="1070"/>
      <c r="F248" s="1072">
        <f>F247*J$13/1000</f>
        <v>8.3898300000000009E-2</v>
      </c>
      <c r="G248" s="1072"/>
      <c r="H248" s="1072"/>
      <c r="I248" s="1073">
        <f>I247*$Q$13/1000</f>
        <v>6.44562E-4</v>
      </c>
      <c r="J248" s="1073"/>
      <c r="K248" s="1073"/>
      <c r="L248" s="342" t="s">
        <v>347</v>
      </c>
      <c r="M248" s="812" t="s">
        <v>124</v>
      </c>
      <c r="N248" s="813">
        <v>1.0049999999999999</v>
      </c>
      <c r="O248" s="814">
        <f>E247*N248</f>
        <v>47.234999999999992</v>
      </c>
      <c r="P248" s="814">
        <v>0.45</v>
      </c>
      <c r="Q248" s="820">
        <f>N248*P248*$N$11</f>
        <v>0.52121952697500018</v>
      </c>
      <c r="R248" s="1074">
        <f>SUM(Q248:Q249)</f>
        <v>0.5213578273470002</v>
      </c>
      <c r="S248" s="1071"/>
      <c r="T248" s="1071"/>
      <c r="U248" s="1071"/>
      <c r="V248" s="273">
        <f t="shared" si="17"/>
        <v>0</v>
      </c>
      <c r="W248" s="274">
        <f t="shared" si="18"/>
        <v>0</v>
      </c>
      <c r="X248" s="567"/>
      <c r="Y248" s="869"/>
      <c r="Z248" s="869"/>
      <c r="AA248" s="869"/>
      <c r="AB248" s="869"/>
      <c r="AC248" s="869"/>
      <c r="AD248" s="869"/>
      <c r="AE248" s="869"/>
    </row>
    <row r="249" spans="1:39" s="810" customFormat="1" ht="12.75">
      <c r="A249" s="1063"/>
      <c r="B249" s="1065"/>
      <c r="C249" s="1067"/>
      <c r="D249" s="1063"/>
      <c r="E249" s="1070"/>
      <c r="F249" s="1072"/>
      <c r="G249" s="1072"/>
      <c r="H249" s="1072"/>
      <c r="I249" s="1073"/>
      <c r="J249" s="1073"/>
      <c r="K249" s="1073"/>
      <c r="L249" s="815" t="s">
        <v>190</v>
      </c>
      <c r="M249" s="816" t="s">
        <v>124</v>
      </c>
      <c r="N249" s="817">
        <f>0.12/1000</f>
        <v>1.1999999999999999E-4</v>
      </c>
      <c r="O249" s="818">
        <f>E247*N249</f>
        <v>5.6399999999999992E-3</v>
      </c>
      <c r="P249" s="819">
        <v>1</v>
      </c>
      <c r="Q249" s="821">
        <f>N249*P249*$N$11</f>
        <v>1.3830037200000003E-4</v>
      </c>
      <c r="R249" s="1074"/>
      <c r="S249" s="1071"/>
      <c r="T249" s="1071"/>
      <c r="U249" s="1071"/>
      <c r="V249" s="273">
        <f t="shared" si="17"/>
        <v>0</v>
      </c>
      <c r="W249" s="274">
        <f t="shared" si="18"/>
        <v>0</v>
      </c>
      <c r="X249" s="567"/>
      <c r="Y249" s="869"/>
      <c r="Z249" s="869"/>
      <c r="AA249" s="869"/>
      <c r="AB249" s="869"/>
      <c r="AC249" s="869"/>
      <c r="AD249" s="869"/>
      <c r="AE249" s="869"/>
    </row>
    <row r="250" spans="1:39" s="745" customFormat="1" ht="12.75" customHeight="1">
      <c r="A250" s="1433">
        <f>+A247+1</f>
        <v>85</v>
      </c>
      <c r="B250" s="1001" t="s">
        <v>191</v>
      </c>
      <c r="C250" s="965" t="s">
        <v>493</v>
      </c>
      <c r="D250" s="966" t="s">
        <v>164</v>
      </c>
      <c r="E250" s="1172">
        <v>4</v>
      </c>
      <c r="F250" s="967"/>
      <c r="G250" s="967"/>
      <c r="H250" s="967"/>
      <c r="I250" s="1004"/>
      <c r="J250" s="1004"/>
      <c r="K250" s="1004"/>
      <c r="L250" s="417"/>
      <c r="M250" s="898"/>
      <c r="N250" s="797"/>
      <c r="O250" s="797"/>
      <c r="P250" s="797"/>
      <c r="Q250" s="801"/>
      <c r="R250" s="787">
        <f>F251+I251</f>
        <v>0</v>
      </c>
      <c r="S250" s="1129">
        <f>R250+R251</f>
        <v>0.92200248000000029</v>
      </c>
      <c r="T250" s="1129">
        <f>E250*S250</f>
        <v>3.6880099200000012</v>
      </c>
      <c r="U250" s="1131">
        <f>R251*E250</f>
        <v>3.6880099200000012</v>
      </c>
      <c r="V250" s="273">
        <f t="shared" si="17"/>
        <v>1.2243613698650677</v>
      </c>
      <c r="W250" s="274">
        <f t="shared" si="18"/>
        <v>4.8974454794602709</v>
      </c>
      <c r="X250" s="567"/>
      <c r="Y250" s="694"/>
      <c r="Z250" s="694"/>
      <c r="AA250" s="694"/>
      <c r="AB250" s="694"/>
      <c r="AC250" s="694"/>
      <c r="AD250" s="694"/>
      <c r="AE250" s="694"/>
    </row>
    <row r="251" spans="1:39" s="745" customFormat="1" ht="12.75" customHeight="1">
      <c r="A251" s="1000"/>
      <c r="B251" s="1002"/>
      <c r="C251" s="965"/>
      <c r="D251" s="966"/>
      <c r="E251" s="1172"/>
      <c r="F251" s="967"/>
      <c r="G251" s="967"/>
      <c r="H251" s="967"/>
      <c r="I251" s="967"/>
      <c r="J251" s="967"/>
      <c r="K251" s="967"/>
      <c r="L251" s="337" t="s">
        <v>377</v>
      </c>
      <c r="M251" s="243" t="s">
        <v>164</v>
      </c>
      <c r="N251" s="244">
        <v>1</v>
      </c>
      <c r="O251" s="247">
        <f>E250*N251</f>
        <v>4</v>
      </c>
      <c r="P251" s="558">
        <v>0.8</v>
      </c>
      <c r="Q251" s="258">
        <f>N251*P251*$N$11</f>
        <v>0.92200248000000029</v>
      </c>
      <c r="R251" s="788">
        <f>SUM(Q251:Q251)</f>
        <v>0.92200248000000029</v>
      </c>
      <c r="S251" s="1130"/>
      <c r="T251" s="1130"/>
      <c r="U251" s="1132"/>
      <c r="V251" s="273">
        <f t="shared" si="17"/>
        <v>0</v>
      </c>
      <c r="W251" s="274">
        <f t="shared" si="18"/>
        <v>0</v>
      </c>
      <c r="X251" s="567"/>
      <c r="Y251" s="694"/>
      <c r="Z251" s="694"/>
      <c r="AA251" s="694"/>
      <c r="AB251" s="694"/>
      <c r="AC251" s="694"/>
      <c r="AD251" s="694"/>
      <c r="AE251" s="694"/>
    </row>
    <row r="252" spans="1:39" s="745" customFormat="1" ht="12.75" customHeight="1">
      <c r="A252" s="1000">
        <f>+A250+1</f>
        <v>86</v>
      </c>
      <c r="B252" s="1001" t="s">
        <v>191</v>
      </c>
      <c r="C252" s="965" t="s">
        <v>380</v>
      </c>
      <c r="D252" s="966" t="s">
        <v>164</v>
      </c>
      <c r="E252" s="1172">
        <v>2</v>
      </c>
      <c r="F252" s="967"/>
      <c r="G252" s="967"/>
      <c r="H252" s="967"/>
      <c r="I252" s="1004"/>
      <c r="J252" s="1004"/>
      <c r="K252" s="1004"/>
      <c r="L252" s="417"/>
      <c r="M252" s="898"/>
      <c r="N252" s="797"/>
      <c r="O252" s="797"/>
      <c r="P252" s="797"/>
      <c r="Q252" s="801"/>
      <c r="R252" s="788">
        <f>F253+I253</f>
        <v>0</v>
      </c>
      <c r="S252" s="1129">
        <f>R252+R253</f>
        <v>1.1525031000000003</v>
      </c>
      <c r="T252" s="1129">
        <f>E252*S252</f>
        <v>2.3050062000000007</v>
      </c>
      <c r="U252" s="1131">
        <f>R253*E252</f>
        <v>2.3050062000000007</v>
      </c>
      <c r="V252" s="273">
        <f t="shared" si="17"/>
        <v>1.5304517123313346</v>
      </c>
      <c r="W252" s="274">
        <f t="shared" si="18"/>
        <v>3.0609034246626692</v>
      </c>
      <c r="X252" s="567"/>
      <c r="Y252" s="694"/>
      <c r="Z252" s="694"/>
      <c r="AA252" s="694"/>
      <c r="AB252" s="694"/>
      <c r="AC252" s="694"/>
      <c r="AD252" s="694"/>
      <c r="AE252" s="694"/>
    </row>
    <row r="253" spans="1:39" s="745" customFormat="1" ht="12.75" customHeight="1">
      <c r="A253" s="1000"/>
      <c r="B253" s="1002"/>
      <c r="C253" s="965"/>
      <c r="D253" s="966"/>
      <c r="E253" s="1172"/>
      <c r="F253" s="967"/>
      <c r="G253" s="967"/>
      <c r="H253" s="967"/>
      <c r="I253" s="967"/>
      <c r="J253" s="967"/>
      <c r="K253" s="967"/>
      <c r="L253" s="337" t="s">
        <v>381</v>
      </c>
      <c r="M253" s="243" t="s">
        <v>164</v>
      </c>
      <c r="N253" s="244">
        <v>1</v>
      </c>
      <c r="O253" s="247">
        <f>E252*N253</f>
        <v>2</v>
      </c>
      <c r="P253" s="558">
        <v>1</v>
      </c>
      <c r="Q253" s="258">
        <f>N253*P253*$N$11</f>
        <v>1.1525031000000003</v>
      </c>
      <c r="R253" s="788">
        <f>SUM(Q253:Q253)</f>
        <v>1.1525031000000003</v>
      </c>
      <c r="S253" s="1130"/>
      <c r="T253" s="1130"/>
      <c r="U253" s="1132"/>
      <c r="V253" s="273">
        <f t="shared" si="17"/>
        <v>0</v>
      </c>
      <c r="W253" s="274">
        <f t="shared" si="18"/>
        <v>0</v>
      </c>
      <c r="X253" s="567"/>
      <c r="Y253" s="694"/>
      <c r="Z253" s="694"/>
      <c r="AA253" s="694"/>
      <c r="AB253" s="694"/>
      <c r="AC253" s="694"/>
      <c r="AD253" s="694"/>
      <c r="AE253" s="694"/>
    </row>
    <row r="254" spans="1:39" s="156" customFormat="1" ht="12.75" customHeight="1">
      <c r="A254" s="1005">
        <f>+A252+1</f>
        <v>87</v>
      </c>
      <c r="B254" s="1001" t="s">
        <v>191</v>
      </c>
      <c r="C254" s="1011" t="s">
        <v>518</v>
      </c>
      <c r="D254" s="1014" t="s">
        <v>123</v>
      </c>
      <c r="E254" s="1110">
        <v>8.4</v>
      </c>
      <c r="F254" s="990"/>
      <c r="G254" s="991"/>
      <c r="H254" s="992"/>
      <c r="I254" s="993"/>
      <c r="J254" s="994"/>
      <c r="K254" s="995"/>
      <c r="L254" s="417"/>
      <c r="M254" s="898"/>
      <c r="N254" s="797"/>
      <c r="O254" s="797"/>
      <c r="P254" s="797"/>
      <c r="Q254" s="801"/>
      <c r="R254" s="887">
        <f>F255+I255</f>
        <v>0</v>
      </c>
      <c r="S254" s="987">
        <f>R254+R255</f>
        <v>1.5455066571000005</v>
      </c>
      <c r="T254" s="987">
        <f>E254*S254</f>
        <v>12.982255919640004</v>
      </c>
      <c r="U254" s="1112">
        <f>E254*Q255</f>
        <v>12.982255919640004</v>
      </c>
      <c r="V254" s="273">
        <f t="shared" si="17"/>
        <v>2.0523357462363196</v>
      </c>
      <c r="W254" s="274">
        <f t="shared" si="18"/>
        <v>17.239620268385085</v>
      </c>
      <c r="X254" s="567"/>
    </row>
    <row r="255" spans="1:39" s="156" customFormat="1" ht="12.75" customHeight="1">
      <c r="A255" s="1007"/>
      <c r="B255" s="1002"/>
      <c r="C255" s="1013"/>
      <c r="D255" s="1016"/>
      <c r="E255" s="1111"/>
      <c r="F255" s="1430"/>
      <c r="G255" s="1431"/>
      <c r="H255" s="1432"/>
      <c r="I255" s="993"/>
      <c r="J255" s="994"/>
      <c r="K255" s="995"/>
      <c r="L255" s="337" t="s">
        <v>520</v>
      </c>
      <c r="M255" s="243" t="s">
        <v>521</v>
      </c>
      <c r="N255" s="244">
        <v>1</v>
      </c>
      <c r="O255" s="247">
        <f>E254*N255</f>
        <v>8.4</v>
      </c>
      <c r="P255" s="558">
        <v>1.341</v>
      </c>
      <c r="Q255" s="258">
        <f>N255*P255*$N$11</f>
        <v>1.5455066571000005</v>
      </c>
      <c r="R255" s="794">
        <f>SUM(Q255:Q255)</f>
        <v>1.5455066571000005</v>
      </c>
      <c r="S255" s="989"/>
      <c r="T255" s="989"/>
      <c r="U255" s="1113"/>
      <c r="V255" s="273">
        <f t="shared" si="17"/>
        <v>0</v>
      </c>
      <c r="W255" s="274">
        <f t="shared" si="18"/>
        <v>0</v>
      </c>
      <c r="X255" s="567"/>
    </row>
    <row r="256" spans="1:39" s="854" customFormat="1">
      <c r="A256" s="1005">
        <f>+A254+1</f>
        <v>88</v>
      </c>
      <c r="B256" s="1008" t="s">
        <v>454</v>
      </c>
      <c r="C256" s="1053" t="s">
        <v>525</v>
      </c>
      <c r="D256" s="1014" t="s">
        <v>116</v>
      </c>
      <c r="E256" s="1055">
        <v>8</v>
      </c>
      <c r="F256" s="993">
        <v>0.21</v>
      </c>
      <c r="G256" s="994"/>
      <c r="H256" s="995"/>
      <c r="I256" s="993">
        <v>0.03</v>
      </c>
      <c r="J256" s="994"/>
      <c r="K256" s="995"/>
      <c r="L256" s="267"/>
      <c r="M256" s="898"/>
      <c r="N256" s="797"/>
      <c r="O256" s="797"/>
      <c r="P256" s="268"/>
      <c r="Q256" s="801"/>
      <c r="R256" s="794">
        <f>F257+I257</f>
        <v>0.58745429999999998</v>
      </c>
      <c r="S256" s="987">
        <f>R256+R257</f>
        <v>4.2950567727000006</v>
      </c>
      <c r="T256" s="987">
        <f>E256*S256</f>
        <v>34.360454181600005</v>
      </c>
      <c r="U256" s="1017">
        <f>E256*R257</f>
        <v>29.660819781600008</v>
      </c>
      <c r="V256" s="273">
        <f t="shared" si="17"/>
        <v>5.7035655629377571</v>
      </c>
      <c r="W256" s="274">
        <f t="shared" si="18"/>
        <v>45.628524503502057</v>
      </c>
      <c r="X256" s="567"/>
      <c r="Y256" s="239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744"/>
    </row>
    <row r="257" spans="1:256" s="854" customFormat="1" ht="28.5" customHeight="1">
      <c r="A257" s="1007"/>
      <c r="B257" s="1010"/>
      <c r="C257" s="1054"/>
      <c r="D257" s="1016"/>
      <c r="E257" s="1056"/>
      <c r="F257" s="993">
        <f>F256*$J$13/1000</f>
        <v>0.49076999999999998</v>
      </c>
      <c r="G257" s="994"/>
      <c r="H257" s="995"/>
      <c r="I257" s="993">
        <f>I256*$Q$13/1000</f>
        <v>9.6684299999999987E-2</v>
      </c>
      <c r="J257" s="994"/>
      <c r="K257" s="995"/>
      <c r="L257" s="248" t="s">
        <v>423</v>
      </c>
      <c r="M257" s="243" t="s">
        <v>116</v>
      </c>
      <c r="N257" s="244">
        <v>1</v>
      </c>
      <c r="O257" s="247">
        <f>E256*N257</f>
        <v>8</v>
      </c>
      <c r="P257" s="240">
        <v>3.2170000000000001</v>
      </c>
      <c r="Q257" s="245">
        <f>N257*P257*$N$11</f>
        <v>3.707602472700001</v>
      </c>
      <c r="R257" s="792">
        <f>SUM(Q257:Q257)</f>
        <v>3.707602472700001</v>
      </c>
      <c r="S257" s="989"/>
      <c r="T257" s="989"/>
      <c r="U257" s="1019"/>
      <c r="V257" s="273">
        <f t="shared" si="17"/>
        <v>0</v>
      </c>
      <c r="W257" s="274">
        <f t="shared" si="18"/>
        <v>0</v>
      </c>
      <c r="X257" s="567"/>
      <c r="Y257" s="239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744"/>
    </row>
    <row r="258" spans="1:256" s="804" customFormat="1" ht="12.75" customHeight="1">
      <c r="A258" s="1133">
        <f>+A256+1</f>
        <v>89</v>
      </c>
      <c r="B258" s="1135" t="s">
        <v>362</v>
      </c>
      <c r="C258" s="1137" t="s">
        <v>363</v>
      </c>
      <c r="D258" s="1140" t="s">
        <v>122</v>
      </c>
      <c r="E258" s="1142">
        <v>2.5</v>
      </c>
      <c r="F258" s="1148">
        <v>0.38400000000000001</v>
      </c>
      <c r="G258" s="1148"/>
      <c r="H258" s="1148"/>
      <c r="I258" s="1214">
        <f>0.03/100</f>
        <v>2.9999999999999997E-4</v>
      </c>
      <c r="J258" s="1215"/>
      <c r="K258" s="1216"/>
      <c r="L258" s="417"/>
      <c r="M258" s="898"/>
      <c r="N258" s="705"/>
      <c r="O258" s="705"/>
      <c r="P258" s="797"/>
      <c r="Q258" s="706"/>
      <c r="R258" s="790">
        <f>F259+I259</f>
        <v>0.89837484300000003</v>
      </c>
      <c r="S258" s="1020">
        <f>R258+R259</f>
        <v>1.2786904934721002</v>
      </c>
      <c r="T258" s="1020">
        <f>E258*S258</f>
        <v>3.1967262336802502</v>
      </c>
      <c r="U258" s="1144">
        <f>R259*E258</f>
        <v>0.95078912618025035</v>
      </c>
      <c r="V258" s="273">
        <f t="shared" si="17"/>
        <v>1.6980206433077485</v>
      </c>
      <c r="W258" s="274">
        <f t="shared" si="18"/>
        <v>4.245051608269371</v>
      </c>
      <c r="X258" s="567"/>
      <c r="Y258" s="721"/>
      <c r="Z258" s="721"/>
      <c r="AA258" s="721"/>
      <c r="AB258" s="721"/>
      <c r="AC258" s="721"/>
      <c r="AD258" s="721"/>
      <c r="AE258" s="721"/>
    </row>
    <row r="259" spans="1:256" s="804" customFormat="1" ht="12.75" customHeight="1">
      <c r="A259" s="1134"/>
      <c r="B259" s="1136"/>
      <c r="C259" s="1138"/>
      <c r="D259" s="1141"/>
      <c r="E259" s="1143"/>
      <c r="F259" s="1148">
        <f>F258*J$13/1000</f>
        <v>0.89740799999999998</v>
      </c>
      <c r="G259" s="1148"/>
      <c r="H259" s="1148"/>
      <c r="I259" s="1148">
        <f>I258*$Q$13/1000</f>
        <v>9.6684299999999989E-4</v>
      </c>
      <c r="J259" s="1148"/>
      <c r="K259" s="1148"/>
      <c r="L259" s="806" t="s">
        <v>130</v>
      </c>
      <c r="M259" s="250" t="s">
        <v>124</v>
      </c>
      <c r="N259" s="712">
        <v>0.246</v>
      </c>
      <c r="O259" s="713">
        <f>E258*N259</f>
        <v>0.61499999999999999</v>
      </c>
      <c r="P259" s="341">
        <v>1.25</v>
      </c>
      <c r="Q259" s="714">
        <f>N259*P259*$N$11</f>
        <v>0.35439470325000011</v>
      </c>
      <c r="R259" s="1020">
        <f>SUM(Q259:Q260)</f>
        <v>0.38031565047210014</v>
      </c>
      <c r="S259" s="1020"/>
      <c r="T259" s="1020"/>
      <c r="U259" s="1144"/>
      <c r="V259" s="273">
        <f t="shared" si="17"/>
        <v>0</v>
      </c>
      <c r="W259" s="274">
        <f t="shared" si="18"/>
        <v>0</v>
      </c>
      <c r="X259" s="567"/>
      <c r="Y259" s="721"/>
      <c r="Z259" s="721"/>
      <c r="AA259" s="721"/>
      <c r="AB259" s="721"/>
      <c r="AC259" s="721"/>
      <c r="AD259" s="721"/>
      <c r="AE259" s="721"/>
    </row>
    <row r="260" spans="1:256" s="804" customFormat="1" ht="12.75" customHeight="1">
      <c r="A260" s="1134"/>
      <c r="B260" s="1136"/>
      <c r="C260" s="1139"/>
      <c r="D260" s="1141"/>
      <c r="E260" s="1143"/>
      <c r="F260" s="1148"/>
      <c r="G260" s="1148"/>
      <c r="H260" s="1148"/>
      <c r="I260" s="1148"/>
      <c r="J260" s="1148"/>
      <c r="K260" s="1148"/>
      <c r="L260" s="807" t="s">
        <v>365</v>
      </c>
      <c r="M260" s="254" t="s">
        <v>124</v>
      </c>
      <c r="N260" s="715">
        <v>2.7E-2</v>
      </c>
      <c r="O260" s="716">
        <f>E258*N260</f>
        <v>6.7500000000000004E-2</v>
      </c>
      <c r="P260" s="355">
        <v>0.83299999999999996</v>
      </c>
      <c r="Q260" s="717">
        <f>N260*P260*$N$11</f>
        <v>2.5920947222100005E-2</v>
      </c>
      <c r="R260" s="1020"/>
      <c r="S260" s="1020"/>
      <c r="T260" s="1020"/>
      <c r="U260" s="1144"/>
      <c r="V260" s="273">
        <f t="shared" si="17"/>
        <v>0</v>
      </c>
      <c r="W260" s="274">
        <f t="shared" si="18"/>
        <v>0</v>
      </c>
      <c r="X260" s="567"/>
      <c r="Y260" s="721"/>
      <c r="Z260" s="721"/>
      <c r="AA260" s="721"/>
      <c r="AB260" s="721"/>
      <c r="AC260" s="721"/>
      <c r="AD260" s="721"/>
      <c r="AE260" s="721"/>
    </row>
    <row r="261" spans="1:256" s="855" customFormat="1" ht="16.5" customHeight="1">
      <c r="A261" s="1162">
        <f>+A258+1</f>
        <v>90</v>
      </c>
      <c r="B261" s="1168" t="s">
        <v>279</v>
      </c>
      <c r="C261" s="1122" t="s">
        <v>456</v>
      </c>
      <c r="D261" s="1124" t="s">
        <v>164</v>
      </c>
      <c r="E261" s="1170">
        <v>4</v>
      </c>
      <c r="F261" s="1126">
        <v>0.31</v>
      </c>
      <c r="G261" s="1127"/>
      <c r="H261" s="1128"/>
      <c r="I261" s="1126">
        <v>0.31</v>
      </c>
      <c r="J261" s="1127"/>
      <c r="K261" s="1128"/>
      <c r="L261" s="526"/>
      <c r="M261" s="527"/>
      <c r="N261" s="528"/>
      <c r="O261" s="528"/>
      <c r="P261" s="529"/>
      <c r="Q261" s="530"/>
      <c r="R261" s="531">
        <f>F262+I262</f>
        <v>1.7235411</v>
      </c>
      <c r="S261" s="1118">
        <f>R261+R262</f>
        <v>10.367314350000003</v>
      </c>
      <c r="T261" s="1118">
        <f>E261*S261</f>
        <v>41.469257400000011</v>
      </c>
      <c r="U261" s="1120">
        <f>+R262*E261</f>
        <v>34.57509300000001</v>
      </c>
      <c r="V261" s="273">
        <f t="shared" si="17"/>
        <v>13.767142144116331</v>
      </c>
      <c r="W261" s="274">
        <f t="shared" si="18"/>
        <v>55.068568576465324</v>
      </c>
      <c r="X261" s="567"/>
      <c r="Y261" s="532"/>
      <c r="Z261" s="532"/>
      <c r="AA261" s="532"/>
      <c r="AB261" s="532"/>
      <c r="AC261" s="532"/>
      <c r="AD261" s="532"/>
      <c r="AE261" s="532"/>
    </row>
    <row r="262" spans="1:256" s="855" customFormat="1" ht="16.5" customHeight="1">
      <c r="A262" s="1163"/>
      <c r="B262" s="1169"/>
      <c r="C262" s="1123"/>
      <c r="D262" s="1125"/>
      <c r="E262" s="1171"/>
      <c r="F262" s="1126">
        <f>F261*$J$13/1000</f>
        <v>0.72447000000000006</v>
      </c>
      <c r="G262" s="1127"/>
      <c r="H262" s="1128"/>
      <c r="I262" s="1126">
        <f>I261*$Q$13/1000</f>
        <v>0.99907109999999999</v>
      </c>
      <c r="J262" s="1127"/>
      <c r="K262" s="1128"/>
      <c r="L262" s="533" t="s">
        <v>273</v>
      </c>
      <c r="M262" s="534" t="s">
        <v>164</v>
      </c>
      <c r="N262" s="535">
        <v>1</v>
      </c>
      <c r="O262" s="536">
        <f>E261*N262</f>
        <v>4</v>
      </c>
      <c r="P262" s="935">
        <f>9/1.2</f>
        <v>7.5</v>
      </c>
      <c r="Q262" s="537">
        <f>N262*P262*$N$11</f>
        <v>8.6437732500000024</v>
      </c>
      <c r="R262" s="538">
        <f>+Q262</f>
        <v>8.6437732500000024</v>
      </c>
      <c r="S262" s="1119"/>
      <c r="T262" s="1119"/>
      <c r="U262" s="1121"/>
      <c r="V262" s="273">
        <f t="shared" si="17"/>
        <v>0</v>
      </c>
      <c r="W262" s="274">
        <f t="shared" si="18"/>
        <v>0</v>
      </c>
      <c r="X262" s="567"/>
      <c r="Y262" s="532"/>
      <c r="Z262" s="532"/>
      <c r="AA262" s="532"/>
      <c r="AB262" s="532"/>
      <c r="AC262" s="532"/>
      <c r="AD262" s="532"/>
      <c r="AE262" s="532"/>
    </row>
    <row r="263" spans="1:256" s="335" customFormat="1" ht="16.5" customHeight="1">
      <c r="A263" s="1162">
        <f t="shared" ref="A263" si="22">+A261+1</f>
        <v>91</v>
      </c>
      <c r="B263" s="1008" t="s">
        <v>280</v>
      </c>
      <c r="C263" s="1053" t="s">
        <v>526</v>
      </c>
      <c r="D263" s="1014" t="s">
        <v>164</v>
      </c>
      <c r="E263" s="1055">
        <v>2</v>
      </c>
      <c r="F263" s="1164">
        <v>1.31</v>
      </c>
      <c r="G263" s="1165"/>
      <c r="H263" s="1166"/>
      <c r="I263" s="1164">
        <v>0.09</v>
      </c>
      <c r="J263" s="1165"/>
      <c r="K263" s="1166"/>
      <c r="L263" s="336"/>
      <c r="M263" s="898"/>
      <c r="N263" s="539"/>
      <c r="O263" s="539"/>
      <c r="P263" s="936"/>
      <c r="Q263" s="786"/>
      <c r="R263" s="794">
        <f>F264+I264</f>
        <v>3.3515229000000004</v>
      </c>
      <c r="S263" s="987">
        <f>R263+R264</f>
        <v>46.570389150000011</v>
      </c>
      <c r="T263" s="987">
        <f>E263*S263</f>
        <v>93.140778300000022</v>
      </c>
      <c r="U263" s="1166">
        <f>R264*E263</f>
        <v>86.437732500000024</v>
      </c>
      <c r="V263" s="273">
        <f t="shared" si="17"/>
        <v>61.842551068673139</v>
      </c>
      <c r="W263" s="274">
        <f t="shared" si="18"/>
        <v>123.68510213734628</v>
      </c>
      <c r="X263" s="567"/>
      <c r="Y263" s="209"/>
      <c r="Z263" s="209"/>
      <c r="AA263" s="209"/>
      <c r="AB263" s="209"/>
      <c r="AC263" s="209"/>
      <c r="AD263" s="209"/>
      <c r="AE263" s="209"/>
    </row>
    <row r="264" spans="1:256" s="335" customFormat="1" ht="16.5" customHeight="1">
      <c r="A264" s="1163"/>
      <c r="B264" s="1010"/>
      <c r="C264" s="1054"/>
      <c r="D264" s="1016"/>
      <c r="E264" s="1056"/>
      <c r="F264" s="993">
        <f>F263*$J$13/1000</f>
        <v>3.0614700000000004</v>
      </c>
      <c r="G264" s="994"/>
      <c r="H264" s="995"/>
      <c r="I264" s="993">
        <f>I263*$Q$13/1000</f>
        <v>0.29005289999999995</v>
      </c>
      <c r="J264" s="994"/>
      <c r="K264" s="995"/>
      <c r="L264" s="540" t="s">
        <v>281</v>
      </c>
      <c r="M264" s="243" t="s">
        <v>164</v>
      </c>
      <c r="N264" s="541">
        <v>1</v>
      </c>
      <c r="O264" s="542">
        <f>E263*N264</f>
        <v>2</v>
      </c>
      <c r="P264" s="338">
        <f>45/1.2</f>
        <v>37.5</v>
      </c>
      <c r="Q264" s="245">
        <f>N264*P264*$N$11</f>
        <v>43.218866250000012</v>
      </c>
      <c r="R264" s="794">
        <f>SUM(Q264:Q264)</f>
        <v>43.218866250000012</v>
      </c>
      <c r="S264" s="989"/>
      <c r="T264" s="989"/>
      <c r="U264" s="1167"/>
      <c r="V264" s="273">
        <f t="shared" si="17"/>
        <v>0</v>
      </c>
      <c r="W264" s="274">
        <f t="shared" si="18"/>
        <v>0</v>
      </c>
      <c r="X264" s="567"/>
      <c r="Y264" s="209"/>
      <c r="Z264" s="209"/>
      <c r="AA264" s="209"/>
      <c r="AB264" s="209"/>
      <c r="AC264" s="209"/>
      <c r="AD264" s="209"/>
      <c r="AE264" s="209"/>
    </row>
    <row r="265" spans="1:256" s="912" customFormat="1" ht="15" customHeight="1">
      <c r="A265" s="1036">
        <f>+A263+1</f>
        <v>92</v>
      </c>
      <c r="B265" s="1038" t="s">
        <v>527</v>
      </c>
      <c r="C265" s="1033" t="s">
        <v>530</v>
      </c>
      <c r="D265" s="1034" t="s">
        <v>529</v>
      </c>
      <c r="E265" s="1040">
        <v>2</v>
      </c>
      <c r="F265" s="1035">
        <v>1.1000000000000001</v>
      </c>
      <c r="G265" s="1035"/>
      <c r="H265" s="1035"/>
      <c r="I265" s="1041"/>
      <c r="J265" s="1041"/>
      <c r="K265" s="1041"/>
      <c r="L265" s="639"/>
      <c r="M265" s="640"/>
      <c r="N265" s="641"/>
      <c r="O265" s="642"/>
      <c r="P265" s="643"/>
      <c r="Q265" s="644"/>
      <c r="R265" s="938">
        <f>F266+I266</f>
        <v>2.5707000000000004</v>
      </c>
      <c r="S265" s="1042">
        <f>R265+R266</f>
        <v>5.1062068200000015</v>
      </c>
      <c r="T265" s="1042">
        <f>E265*S265</f>
        <v>10.212413640000003</v>
      </c>
      <c r="U265" s="1043">
        <f>R266*E265</f>
        <v>5.0710136400000021</v>
      </c>
      <c r="V265" s="273">
        <f t="shared" si="17"/>
        <v>6.7807218663333222</v>
      </c>
      <c r="W265" s="274">
        <f t="shared" si="18"/>
        <v>13.561443732666644</v>
      </c>
      <c r="X265" s="567"/>
      <c r="Y265" s="721"/>
      <c r="Z265" s="721"/>
      <c r="AA265" s="721"/>
      <c r="AB265" s="721"/>
      <c r="AC265" s="721"/>
      <c r="AD265" s="721"/>
      <c r="AE265" s="721"/>
    </row>
    <row r="266" spans="1:256" s="912" customFormat="1" ht="15" customHeight="1">
      <c r="A266" s="1037"/>
      <c r="B266" s="1039"/>
      <c r="C266" s="1033"/>
      <c r="D266" s="1034"/>
      <c r="E266" s="1040"/>
      <c r="F266" s="1035">
        <f>F265*J$13/1000</f>
        <v>2.5707000000000004</v>
      </c>
      <c r="G266" s="1035"/>
      <c r="H266" s="1035"/>
      <c r="I266" s="1035">
        <f>I265*$Q$13/1000</f>
        <v>0</v>
      </c>
      <c r="J266" s="1035"/>
      <c r="K266" s="1035"/>
      <c r="L266" s="246" t="s">
        <v>231</v>
      </c>
      <c r="M266" s="928" t="s">
        <v>529</v>
      </c>
      <c r="N266" s="929">
        <v>1.1000000000000001</v>
      </c>
      <c r="O266" s="930">
        <f>E265*N266</f>
        <v>2.2000000000000002</v>
      </c>
      <c r="P266" s="918">
        <v>2</v>
      </c>
      <c r="Q266" s="931">
        <f>N266*P266*$N$11</f>
        <v>2.535506820000001</v>
      </c>
      <c r="R266" s="938">
        <f>SUM(Q266:Q266)</f>
        <v>2.535506820000001</v>
      </c>
      <c r="S266" s="1042"/>
      <c r="T266" s="1042"/>
      <c r="U266" s="1043"/>
      <c r="V266" s="273">
        <f t="shared" si="17"/>
        <v>0</v>
      </c>
      <c r="W266" s="274">
        <f t="shared" si="18"/>
        <v>0</v>
      </c>
      <c r="X266" s="567"/>
      <c r="Y266" s="721"/>
      <c r="Z266" s="721"/>
      <c r="AA266" s="721"/>
      <c r="AB266" s="721"/>
      <c r="AC266" s="721"/>
      <c r="AD266" s="721"/>
      <c r="AE266" s="721"/>
    </row>
    <row r="267" spans="1:256" s="912" customFormat="1" ht="15" customHeight="1">
      <c r="A267" s="1036">
        <f>+A265+1</f>
        <v>93</v>
      </c>
      <c r="B267" s="1038" t="s">
        <v>191</v>
      </c>
      <c r="C267" s="1033" t="s">
        <v>531</v>
      </c>
      <c r="D267" s="1034" t="s">
        <v>529</v>
      </c>
      <c r="E267" s="1040">
        <v>1.1000000000000001</v>
      </c>
      <c r="F267" s="1035"/>
      <c r="G267" s="1035"/>
      <c r="H267" s="1035"/>
      <c r="I267" s="1041"/>
      <c r="J267" s="1041"/>
      <c r="K267" s="1041"/>
      <c r="L267" s="639"/>
      <c r="M267" s="640"/>
      <c r="N267" s="641"/>
      <c r="O267" s="642"/>
      <c r="P267" s="643"/>
      <c r="Q267" s="644"/>
      <c r="R267" s="938">
        <f>F268+I268</f>
        <v>0</v>
      </c>
      <c r="S267" s="1042">
        <f>R267+R268</f>
        <v>28.812577500000007</v>
      </c>
      <c r="T267" s="1042">
        <f>E267*S267</f>
        <v>31.69383525000001</v>
      </c>
      <c r="U267" s="1043">
        <f>R268*E267</f>
        <v>31.69383525000001</v>
      </c>
      <c r="V267" s="273">
        <f t="shared" si="17"/>
        <v>38.261292808283365</v>
      </c>
      <c r="W267" s="274">
        <f t="shared" si="18"/>
        <v>42.087422089111705</v>
      </c>
      <c r="X267" s="567"/>
      <c r="Y267" s="721"/>
      <c r="Z267" s="721"/>
      <c r="AA267" s="721"/>
      <c r="AB267" s="721"/>
      <c r="AC267" s="721"/>
      <c r="AD267" s="721"/>
      <c r="AE267" s="721"/>
    </row>
    <row r="268" spans="1:256" s="912" customFormat="1" ht="15" customHeight="1">
      <c r="A268" s="1037"/>
      <c r="B268" s="1039"/>
      <c r="C268" s="1033"/>
      <c r="D268" s="1034"/>
      <c r="E268" s="1040"/>
      <c r="F268" s="1035">
        <f>F267*J$13/1000</f>
        <v>0</v>
      </c>
      <c r="G268" s="1035"/>
      <c r="H268" s="1035"/>
      <c r="I268" s="1035">
        <f>I267*$Q$13/1000</f>
        <v>0</v>
      </c>
      <c r="J268" s="1035"/>
      <c r="K268" s="1035"/>
      <c r="L268" s="246" t="s">
        <v>532</v>
      </c>
      <c r="M268" s="928" t="s">
        <v>529</v>
      </c>
      <c r="N268" s="929">
        <v>1</v>
      </c>
      <c r="O268" s="930">
        <f>E267*N268</f>
        <v>1.1000000000000001</v>
      </c>
      <c r="P268" s="918">
        <v>25</v>
      </c>
      <c r="Q268" s="931">
        <f>N268*P268*$N$11</f>
        <v>28.812577500000007</v>
      </c>
      <c r="R268" s="938">
        <f>SUM(Q268:Q268)</f>
        <v>28.812577500000007</v>
      </c>
      <c r="S268" s="1042"/>
      <c r="T268" s="1042"/>
      <c r="U268" s="1043"/>
      <c r="V268" s="273">
        <f t="shared" si="17"/>
        <v>0</v>
      </c>
      <c r="W268" s="274">
        <f t="shared" si="18"/>
        <v>0</v>
      </c>
      <c r="X268" s="567"/>
      <c r="Y268" s="721"/>
      <c r="Z268" s="721"/>
      <c r="AA268" s="721"/>
      <c r="AB268" s="721"/>
      <c r="AC268" s="721"/>
      <c r="AD268" s="721"/>
      <c r="AE268" s="721"/>
    </row>
    <row r="269" spans="1:256" s="562" customFormat="1" ht="12.75">
      <c r="A269" s="968">
        <f>+A267+1</f>
        <v>94</v>
      </c>
      <c r="B269" s="970" t="s">
        <v>370</v>
      </c>
      <c r="C269" s="972" t="s">
        <v>513</v>
      </c>
      <c r="D269" s="974" t="s">
        <v>180</v>
      </c>
      <c r="E269" s="976">
        <v>2.1</v>
      </c>
      <c r="F269" s="978">
        <v>0.45</v>
      </c>
      <c r="G269" s="978"/>
      <c r="H269" s="978"/>
      <c r="I269" s="978">
        <v>0.37</v>
      </c>
      <c r="J269" s="978"/>
      <c r="K269" s="978"/>
      <c r="L269" s="724"/>
      <c r="M269" s="725"/>
      <c r="N269" s="726"/>
      <c r="O269" s="726"/>
      <c r="P269" s="726"/>
      <c r="Q269" s="763"/>
      <c r="R269" s="796">
        <f>F270+I270</f>
        <v>2.2440897</v>
      </c>
      <c r="S269" s="976">
        <f>R269+R270</f>
        <v>7.5456039600000011</v>
      </c>
      <c r="T269" s="976">
        <f>E269*S269</f>
        <v>15.845768316000003</v>
      </c>
      <c r="U269" s="980">
        <f>E269*Q270</f>
        <v>11.133179946000002</v>
      </c>
      <c r="V269" s="273">
        <f t="shared" si="17"/>
        <v>10.020088016384596</v>
      </c>
      <c r="W269" s="274">
        <f t="shared" si="18"/>
        <v>21.042184834407653</v>
      </c>
      <c r="X269" s="567"/>
      <c r="Y269" s="727"/>
      <c r="Z269" s="727"/>
      <c r="AA269" s="727"/>
      <c r="AB269" s="727"/>
      <c r="AC269" s="727"/>
      <c r="AD269" s="727"/>
      <c r="AE269" s="727"/>
      <c r="AF269" s="727"/>
      <c r="AG269" s="727"/>
      <c r="AH269" s="727"/>
      <c r="AI269" s="727"/>
      <c r="AJ269" s="727"/>
      <c r="AK269" s="727"/>
      <c r="AL269" s="727"/>
      <c r="AM269" s="727"/>
      <c r="AN269" s="727"/>
      <c r="AO269" s="727"/>
      <c r="AP269" s="727"/>
      <c r="AQ269" s="727"/>
      <c r="AR269" s="727"/>
      <c r="AS269" s="727"/>
      <c r="AT269" s="727"/>
      <c r="AU269" s="727"/>
      <c r="AV269" s="727"/>
      <c r="AW269" s="727"/>
      <c r="AX269" s="727"/>
      <c r="AY269" s="727"/>
      <c r="AZ269" s="727"/>
      <c r="BA269" s="727"/>
      <c r="BB269" s="727"/>
      <c r="BC269" s="727"/>
      <c r="BD269" s="727"/>
      <c r="BE269" s="727"/>
      <c r="BF269" s="727"/>
      <c r="BG269" s="727"/>
      <c r="BH269" s="727"/>
      <c r="BI269" s="727"/>
      <c r="BJ269" s="727"/>
      <c r="BK269" s="727"/>
      <c r="BL269" s="727"/>
      <c r="BM269" s="727"/>
      <c r="BN269" s="727"/>
      <c r="BO269" s="727"/>
      <c r="BP269" s="727"/>
      <c r="BQ269" s="727"/>
      <c r="BR269" s="727"/>
      <c r="BS269" s="727"/>
      <c r="BT269" s="727"/>
      <c r="BU269" s="727"/>
      <c r="BV269" s="727"/>
      <c r="BW269" s="727"/>
      <c r="BX269" s="727"/>
      <c r="BY269" s="727"/>
      <c r="BZ269" s="727"/>
      <c r="CA269" s="727"/>
      <c r="CB269" s="727"/>
      <c r="CC269" s="727"/>
      <c r="CD269" s="727"/>
      <c r="CE269" s="727"/>
      <c r="CF269" s="727"/>
      <c r="CG269" s="727"/>
      <c r="CH269" s="727"/>
      <c r="CI269" s="727"/>
      <c r="CJ269" s="727"/>
      <c r="CK269" s="727"/>
      <c r="CL269" s="727"/>
      <c r="CM269" s="727"/>
      <c r="CN269" s="727"/>
      <c r="CO269" s="727"/>
      <c r="CP269" s="727"/>
      <c r="CQ269" s="727"/>
      <c r="CR269" s="727"/>
      <c r="CS269" s="727"/>
      <c r="CT269" s="727"/>
      <c r="CU269" s="727"/>
      <c r="CV269" s="727"/>
      <c r="CW269" s="727"/>
      <c r="CX269" s="727"/>
      <c r="CY269" s="727"/>
      <c r="CZ269" s="727"/>
      <c r="DA269" s="727"/>
      <c r="DB269" s="727"/>
      <c r="DC269" s="727"/>
      <c r="DD269" s="727"/>
      <c r="DE269" s="727"/>
      <c r="DF269" s="727"/>
      <c r="DG269" s="727"/>
      <c r="DH269" s="727"/>
      <c r="DI269" s="727"/>
      <c r="DJ269" s="727"/>
      <c r="DK269" s="727"/>
      <c r="DL269" s="727"/>
      <c r="DM269" s="727"/>
      <c r="DN269" s="727"/>
      <c r="DO269" s="727"/>
      <c r="DP269" s="727"/>
      <c r="DQ269" s="727"/>
      <c r="DR269" s="727"/>
      <c r="DS269" s="727"/>
      <c r="DT269" s="727"/>
      <c r="DU269" s="727"/>
      <c r="DV269" s="727"/>
      <c r="DW269" s="727"/>
      <c r="DX269" s="727"/>
      <c r="DY269" s="727"/>
      <c r="DZ269" s="727"/>
      <c r="EA269" s="727"/>
      <c r="EB269" s="727"/>
      <c r="EC269" s="727"/>
      <c r="ED269" s="727"/>
      <c r="EE269" s="727"/>
      <c r="EF269" s="727"/>
      <c r="EG269" s="727"/>
      <c r="EH269" s="727"/>
      <c r="EI269" s="727"/>
      <c r="EJ269" s="727"/>
      <c r="EK269" s="727"/>
      <c r="EL269" s="727"/>
      <c r="EM269" s="727"/>
      <c r="EN269" s="727"/>
      <c r="EO269" s="727"/>
      <c r="EP269" s="727"/>
      <c r="EQ269" s="727"/>
      <c r="ER269" s="727"/>
      <c r="ES269" s="727"/>
      <c r="ET269" s="727"/>
      <c r="EU269" s="727"/>
      <c r="EV269" s="727"/>
      <c r="EW269" s="727"/>
      <c r="EX269" s="727"/>
      <c r="EY269" s="727"/>
      <c r="EZ269" s="727"/>
      <c r="FA269" s="727"/>
      <c r="FB269" s="727"/>
      <c r="FC269" s="727"/>
      <c r="FD269" s="727"/>
      <c r="FE269" s="727"/>
      <c r="FF269" s="727"/>
      <c r="FG269" s="727"/>
      <c r="FH269" s="727"/>
      <c r="FI269" s="727"/>
      <c r="FJ269" s="727"/>
      <c r="FK269" s="727"/>
      <c r="FL269" s="727"/>
      <c r="FM269" s="727"/>
      <c r="FN269" s="727"/>
      <c r="FO269" s="727"/>
      <c r="FP269" s="727"/>
      <c r="FQ269" s="727"/>
      <c r="FR269" s="727"/>
      <c r="FS269" s="727"/>
      <c r="FT269" s="727"/>
      <c r="FU269" s="727"/>
      <c r="FV269" s="727"/>
      <c r="FW269" s="727"/>
      <c r="FX269" s="727"/>
      <c r="FY269" s="727"/>
      <c r="FZ269" s="727"/>
      <c r="GA269" s="727"/>
      <c r="GB269" s="727"/>
      <c r="GC269" s="727"/>
      <c r="GD269" s="727"/>
      <c r="GE269" s="727"/>
      <c r="GF269" s="727"/>
      <c r="GG269" s="727"/>
      <c r="GH269" s="727"/>
      <c r="GI269" s="727"/>
      <c r="GJ269" s="727"/>
      <c r="GK269" s="727"/>
      <c r="GL269" s="727"/>
      <c r="GM269" s="727"/>
      <c r="GN269" s="727"/>
      <c r="GO269" s="727"/>
      <c r="GP269" s="727"/>
      <c r="GQ269" s="727"/>
      <c r="GR269" s="727"/>
      <c r="GS269" s="727"/>
      <c r="GT269" s="727"/>
      <c r="GU269" s="727"/>
      <c r="GV269" s="727"/>
      <c r="GW269" s="727"/>
      <c r="GX269" s="727"/>
      <c r="GY269" s="727"/>
      <c r="GZ269" s="727"/>
      <c r="HA269" s="727"/>
      <c r="HB269" s="727"/>
      <c r="HC269" s="727"/>
      <c r="HD269" s="727"/>
      <c r="HE269" s="727"/>
      <c r="HF269" s="727"/>
      <c r="HG269" s="727"/>
      <c r="HH269" s="727"/>
      <c r="HI269" s="727"/>
      <c r="HJ269" s="727"/>
      <c r="HK269" s="727"/>
      <c r="HL269" s="727"/>
      <c r="HM269" s="727"/>
      <c r="HN269" s="727"/>
      <c r="HO269" s="727"/>
      <c r="HP269" s="727"/>
      <c r="HQ269" s="727"/>
      <c r="HR269" s="727"/>
      <c r="HS269" s="727"/>
      <c r="HT269" s="727"/>
      <c r="HU269" s="727"/>
      <c r="HV269" s="727"/>
      <c r="HW269" s="727"/>
      <c r="HX269" s="727"/>
      <c r="HY269" s="727"/>
      <c r="HZ269" s="727"/>
      <c r="IA269" s="727"/>
      <c r="IB269" s="727"/>
      <c r="IC269" s="727"/>
      <c r="ID269" s="727"/>
      <c r="IE269" s="727"/>
      <c r="IF269" s="727"/>
      <c r="IG269" s="727"/>
      <c r="IH269" s="727"/>
      <c r="II269" s="727"/>
      <c r="IJ269" s="727"/>
      <c r="IK269" s="727"/>
      <c r="IL269" s="727"/>
      <c r="IM269" s="727"/>
      <c r="IN269" s="727"/>
      <c r="IO269" s="727"/>
      <c r="IP269" s="727"/>
      <c r="IQ269" s="727"/>
      <c r="IR269" s="727"/>
      <c r="IS269" s="727"/>
      <c r="IT269" s="727"/>
      <c r="IU269" s="727"/>
      <c r="IV269" s="727"/>
    </row>
    <row r="270" spans="1:256" s="562" customFormat="1" ht="23.25" customHeight="1">
      <c r="A270" s="969"/>
      <c r="B270" s="971"/>
      <c r="C270" s="973"/>
      <c r="D270" s="975"/>
      <c r="E270" s="977"/>
      <c r="F270" s="978">
        <f>F269*$J$13/1000</f>
        <v>1.0516500000000002</v>
      </c>
      <c r="G270" s="978"/>
      <c r="H270" s="978"/>
      <c r="I270" s="978">
        <f>I269*$Q$13/1000</f>
        <v>1.1924397</v>
      </c>
      <c r="J270" s="978"/>
      <c r="K270" s="978"/>
      <c r="L270" s="919" t="s">
        <v>371</v>
      </c>
      <c r="M270" s="920" t="s">
        <v>180</v>
      </c>
      <c r="N270" s="921">
        <v>1.1499999999999999</v>
      </c>
      <c r="O270" s="922">
        <f>E269*N270</f>
        <v>2.415</v>
      </c>
      <c r="P270" s="923">
        <v>4</v>
      </c>
      <c r="Q270" s="924">
        <f>N270*P270*$N$11</f>
        <v>5.3015142600000011</v>
      </c>
      <c r="R270" s="926">
        <f>SUM(Q270:Q270)</f>
        <v>5.3015142600000011</v>
      </c>
      <c r="S270" s="977"/>
      <c r="T270" s="979"/>
      <c r="U270" s="981"/>
      <c r="V270" s="273">
        <f t="shared" si="17"/>
        <v>0</v>
      </c>
      <c r="W270" s="274">
        <f t="shared" si="18"/>
        <v>0</v>
      </c>
      <c r="X270" s="567"/>
      <c r="Y270" s="727"/>
      <c r="Z270" s="727"/>
      <c r="AA270" s="727"/>
      <c r="AB270" s="727"/>
      <c r="AC270" s="727"/>
      <c r="AD270" s="727"/>
      <c r="AE270" s="727"/>
      <c r="AF270" s="727"/>
      <c r="AG270" s="727"/>
      <c r="AH270" s="727"/>
      <c r="AI270" s="727"/>
      <c r="AJ270" s="727"/>
      <c r="AK270" s="727"/>
      <c r="AL270" s="727"/>
      <c r="AM270" s="727"/>
      <c r="AN270" s="727"/>
      <c r="AO270" s="727"/>
      <c r="AP270" s="727"/>
      <c r="AQ270" s="727"/>
      <c r="AR270" s="727"/>
      <c r="AS270" s="727"/>
      <c r="AT270" s="727"/>
      <c r="AU270" s="727"/>
      <c r="AV270" s="727"/>
      <c r="AW270" s="727"/>
      <c r="AX270" s="727"/>
      <c r="AY270" s="727"/>
      <c r="AZ270" s="727"/>
      <c r="BA270" s="727"/>
      <c r="BB270" s="727"/>
      <c r="BC270" s="727"/>
      <c r="BD270" s="727"/>
      <c r="BE270" s="727"/>
      <c r="BF270" s="727"/>
      <c r="BG270" s="727"/>
      <c r="BH270" s="727"/>
      <c r="BI270" s="727"/>
      <c r="BJ270" s="727"/>
      <c r="BK270" s="727"/>
      <c r="BL270" s="727"/>
      <c r="BM270" s="727"/>
      <c r="BN270" s="727"/>
      <c r="BO270" s="727"/>
      <c r="BP270" s="727"/>
      <c r="BQ270" s="727"/>
      <c r="BR270" s="727"/>
      <c r="BS270" s="727"/>
      <c r="BT270" s="727"/>
      <c r="BU270" s="727"/>
      <c r="BV270" s="727"/>
      <c r="BW270" s="727"/>
      <c r="BX270" s="727"/>
      <c r="BY270" s="727"/>
      <c r="BZ270" s="727"/>
      <c r="CA270" s="727"/>
      <c r="CB270" s="727"/>
      <c r="CC270" s="727"/>
      <c r="CD270" s="727"/>
      <c r="CE270" s="727"/>
      <c r="CF270" s="727"/>
      <c r="CG270" s="727"/>
      <c r="CH270" s="727"/>
      <c r="CI270" s="727"/>
      <c r="CJ270" s="727"/>
      <c r="CK270" s="727"/>
      <c r="CL270" s="727"/>
      <c r="CM270" s="727"/>
      <c r="CN270" s="727"/>
      <c r="CO270" s="727"/>
      <c r="CP270" s="727"/>
      <c r="CQ270" s="727"/>
      <c r="CR270" s="727"/>
      <c r="CS270" s="727"/>
      <c r="CT270" s="727"/>
      <c r="CU270" s="727"/>
      <c r="CV270" s="727"/>
      <c r="CW270" s="727"/>
      <c r="CX270" s="727"/>
      <c r="CY270" s="727"/>
      <c r="CZ270" s="727"/>
      <c r="DA270" s="727"/>
      <c r="DB270" s="727"/>
      <c r="DC270" s="727"/>
      <c r="DD270" s="727"/>
      <c r="DE270" s="727"/>
      <c r="DF270" s="727"/>
      <c r="DG270" s="727"/>
      <c r="DH270" s="727"/>
      <c r="DI270" s="727"/>
      <c r="DJ270" s="727"/>
      <c r="DK270" s="727"/>
      <c r="DL270" s="727"/>
      <c r="DM270" s="727"/>
      <c r="DN270" s="727"/>
      <c r="DO270" s="727"/>
      <c r="DP270" s="727"/>
      <c r="DQ270" s="727"/>
      <c r="DR270" s="727"/>
      <c r="DS270" s="727"/>
      <c r="DT270" s="727"/>
      <c r="DU270" s="727"/>
      <c r="DV270" s="727"/>
      <c r="DW270" s="727"/>
      <c r="DX270" s="727"/>
      <c r="DY270" s="727"/>
      <c r="DZ270" s="727"/>
      <c r="EA270" s="727"/>
      <c r="EB270" s="727"/>
      <c r="EC270" s="727"/>
      <c r="ED270" s="727"/>
      <c r="EE270" s="727"/>
      <c r="EF270" s="727"/>
      <c r="EG270" s="727"/>
      <c r="EH270" s="727"/>
      <c r="EI270" s="727"/>
      <c r="EJ270" s="727"/>
      <c r="EK270" s="727"/>
      <c r="EL270" s="727"/>
      <c r="EM270" s="727"/>
      <c r="EN270" s="727"/>
      <c r="EO270" s="727"/>
      <c r="EP270" s="727"/>
      <c r="EQ270" s="727"/>
      <c r="ER270" s="727"/>
      <c r="ES270" s="727"/>
      <c r="ET270" s="727"/>
      <c r="EU270" s="727"/>
      <c r="EV270" s="727"/>
      <c r="EW270" s="727"/>
      <c r="EX270" s="727"/>
      <c r="EY270" s="727"/>
      <c r="EZ270" s="727"/>
      <c r="FA270" s="727"/>
      <c r="FB270" s="727"/>
      <c r="FC270" s="727"/>
      <c r="FD270" s="727"/>
      <c r="FE270" s="727"/>
      <c r="FF270" s="727"/>
      <c r="FG270" s="727"/>
      <c r="FH270" s="727"/>
      <c r="FI270" s="727"/>
      <c r="FJ270" s="727"/>
      <c r="FK270" s="727"/>
      <c r="FL270" s="727"/>
      <c r="FM270" s="727"/>
      <c r="FN270" s="727"/>
      <c r="FO270" s="727"/>
      <c r="FP270" s="727"/>
      <c r="FQ270" s="727"/>
      <c r="FR270" s="727"/>
      <c r="FS270" s="727"/>
      <c r="FT270" s="727"/>
      <c r="FU270" s="727"/>
      <c r="FV270" s="727"/>
      <c r="FW270" s="727"/>
      <c r="FX270" s="727"/>
      <c r="FY270" s="727"/>
      <c r="FZ270" s="727"/>
      <c r="GA270" s="727"/>
      <c r="GB270" s="727"/>
      <c r="GC270" s="727"/>
      <c r="GD270" s="727"/>
      <c r="GE270" s="727"/>
      <c r="GF270" s="727"/>
      <c r="GG270" s="727"/>
      <c r="GH270" s="727"/>
      <c r="GI270" s="727"/>
      <c r="GJ270" s="727"/>
      <c r="GK270" s="727"/>
      <c r="GL270" s="727"/>
      <c r="GM270" s="727"/>
      <c r="GN270" s="727"/>
      <c r="GO270" s="727"/>
      <c r="GP270" s="727"/>
      <c r="GQ270" s="727"/>
      <c r="GR270" s="727"/>
      <c r="GS270" s="727"/>
      <c r="GT270" s="727"/>
      <c r="GU270" s="727"/>
      <c r="GV270" s="727"/>
      <c r="GW270" s="727"/>
      <c r="GX270" s="727"/>
      <c r="GY270" s="727"/>
      <c r="GZ270" s="727"/>
      <c r="HA270" s="727"/>
      <c r="HB270" s="727"/>
      <c r="HC270" s="727"/>
      <c r="HD270" s="727"/>
      <c r="HE270" s="727"/>
      <c r="HF270" s="727"/>
      <c r="HG270" s="727"/>
      <c r="HH270" s="727"/>
      <c r="HI270" s="727"/>
      <c r="HJ270" s="727"/>
      <c r="HK270" s="727"/>
      <c r="HL270" s="727"/>
      <c r="HM270" s="727"/>
      <c r="HN270" s="727"/>
      <c r="HO270" s="727"/>
      <c r="HP270" s="727"/>
      <c r="HQ270" s="727"/>
      <c r="HR270" s="727"/>
      <c r="HS270" s="727"/>
      <c r="HT270" s="727"/>
      <c r="HU270" s="727"/>
      <c r="HV270" s="727"/>
      <c r="HW270" s="727"/>
      <c r="HX270" s="727"/>
      <c r="HY270" s="727"/>
      <c r="HZ270" s="727"/>
      <c r="IA270" s="727"/>
      <c r="IB270" s="727"/>
      <c r="IC270" s="727"/>
      <c r="ID270" s="727"/>
      <c r="IE270" s="727"/>
      <c r="IF270" s="727"/>
      <c r="IG270" s="727"/>
      <c r="IH270" s="727"/>
      <c r="II270" s="727"/>
      <c r="IJ270" s="727"/>
      <c r="IK270" s="727"/>
      <c r="IL270" s="727"/>
      <c r="IM270" s="727"/>
      <c r="IN270" s="727"/>
      <c r="IO270" s="727"/>
      <c r="IP270" s="727"/>
      <c r="IQ270" s="727"/>
      <c r="IR270" s="727"/>
      <c r="IS270" s="727"/>
      <c r="IT270" s="727"/>
      <c r="IU270" s="727"/>
      <c r="IV270" s="727"/>
    </row>
    <row r="271" spans="1:256" s="730" customFormat="1" ht="27" customHeight="1">
      <c r="A271" s="1023">
        <f>+A269+1</f>
        <v>95</v>
      </c>
      <c r="B271" s="1008" t="s">
        <v>388</v>
      </c>
      <c r="C271" s="1011" t="s">
        <v>390</v>
      </c>
      <c r="D271" s="1014" t="s">
        <v>180</v>
      </c>
      <c r="E271" s="1027">
        <v>2.1</v>
      </c>
      <c r="F271" s="1027">
        <v>0.7</v>
      </c>
      <c r="G271" s="1029"/>
      <c r="H271" s="1029"/>
      <c r="I271" s="1027">
        <v>0.28000000000000003</v>
      </c>
      <c r="J271" s="1029"/>
      <c r="K271" s="1030"/>
      <c r="L271" s="864"/>
      <c r="M271" s="728"/>
      <c r="N271" s="370"/>
      <c r="O271" s="791"/>
      <c r="P271" s="577"/>
      <c r="Q271" s="792"/>
      <c r="R271" s="784">
        <f>F272+I272</f>
        <v>2.5382867999999998</v>
      </c>
      <c r="S271" s="988">
        <f>R271+R272</f>
        <v>31.535656647054012</v>
      </c>
      <c r="T271" s="988">
        <f>E271*S271</f>
        <v>66.22487895881342</v>
      </c>
      <c r="U271" s="1031">
        <f>R272*E271</f>
        <v>60.894476678813426</v>
      </c>
      <c r="V271" s="273">
        <f t="shared" si="17"/>
        <v>41.877370841758982</v>
      </c>
      <c r="W271" s="274">
        <f t="shared" si="18"/>
        <v>87.942478767693871</v>
      </c>
      <c r="X271" s="567"/>
      <c r="Y271" s="865"/>
      <c r="Z271" s="865"/>
      <c r="AA271" s="865"/>
      <c r="AB271" s="729"/>
      <c r="AC271" s="729"/>
      <c r="AD271" s="729"/>
      <c r="AE271" s="729"/>
    </row>
    <row r="272" spans="1:256" s="730" customFormat="1" ht="22.5" customHeight="1">
      <c r="A272" s="1024"/>
      <c r="B272" s="1025"/>
      <c r="C272" s="1026"/>
      <c r="D272" s="1016"/>
      <c r="E272" s="1028"/>
      <c r="F272" s="1027">
        <f>F271*$J$13/1000</f>
        <v>1.6358999999999999</v>
      </c>
      <c r="G272" s="1029"/>
      <c r="H272" s="1029"/>
      <c r="I272" s="1027">
        <f>I271*$Q$13/1000</f>
        <v>0.90238680000000016</v>
      </c>
      <c r="J272" s="1029"/>
      <c r="K272" s="1029"/>
      <c r="L272" s="743" t="s">
        <v>356</v>
      </c>
      <c r="M272" s="250" t="s">
        <v>180</v>
      </c>
      <c r="N272" s="265">
        <v>1.02</v>
      </c>
      <c r="O272" s="265">
        <f>E271*N272</f>
        <v>2.1420000000000003</v>
      </c>
      <c r="P272" s="236">
        <v>24.667000000000002</v>
      </c>
      <c r="Q272" s="233">
        <f>N272*P272*$N$11</f>
        <v>28.99736984705401</v>
      </c>
      <c r="R272" s="789">
        <f>SUM(Q272:Q272)</f>
        <v>28.99736984705401</v>
      </c>
      <c r="S272" s="1025"/>
      <c r="T272" s="1025"/>
      <c r="U272" s="1032"/>
      <c r="V272" s="273">
        <f t="shared" si="17"/>
        <v>0</v>
      </c>
      <c r="W272" s="274">
        <f t="shared" si="18"/>
        <v>0</v>
      </c>
      <c r="X272" s="567"/>
      <c r="Y272" s="865"/>
      <c r="Z272" s="865"/>
      <c r="AA272" s="865"/>
      <c r="AB272" s="729"/>
      <c r="AC272" s="729"/>
      <c r="AD272" s="729"/>
      <c r="AE272" s="729"/>
    </row>
    <row r="273" spans="1:37" s="405" customFormat="1" ht="12.75" customHeight="1">
      <c r="A273" s="1005">
        <f>+A271+1</f>
        <v>96</v>
      </c>
      <c r="B273" s="1008" t="s">
        <v>344</v>
      </c>
      <c r="C273" s="1011" t="s">
        <v>533</v>
      </c>
      <c r="D273" s="1014" t="s">
        <v>180</v>
      </c>
      <c r="E273" s="987">
        <v>3.5</v>
      </c>
      <c r="F273" s="990">
        <v>1</v>
      </c>
      <c r="G273" s="991"/>
      <c r="H273" s="992"/>
      <c r="I273" s="993">
        <v>0.77</v>
      </c>
      <c r="J273" s="994"/>
      <c r="K273" s="995"/>
      <c r="L273" s="635"/>
      <c r="M273" s="898"/>
      <c r="N273" s="404"/>
      <c r="O273" s="797"/>
      <c r="P273" s="797"/>
      <c r="Q273" s="786"/>
      <c r="R273" s="794">
        <f>F274+I274</f>
        <v>4.8185637000000003</v>
      </c>
      <c r="S273" s="987">
        <f>R273+R274</f>
        <v>69.54698254634161</v>
      </c>
      <c r="T273" s="987">
        <f>E273*S273</f>
        <v>243.41443891219564</v>
      </c>
      <c r="U273" s="1017">
        <f t="shared" ref="U273" si="23">E273*R274</f>
        <v>226.54946596219565</v>
      </c>
      <c r="V273" s="273">
        <f t="shared" si="17"/>
        <v>92.354023625208413</v>
      </c>
      <c r="W273" s="274">
        <f t="shared" si="18"/>
        <v>323.23908268822947</v>
      </c>
      <c r="X273" s="567"/>
    </row>
    <row r="274" spans="1:37" s="405" customFormat="1" ht="12.75">
      <c r="A274" s="1006"/>
      <c r="B274" s="1009"/>
      <c r="C274" s="1012"/>
      <c r="D274" s="1015"/>
      <c r="E274" s="988"/>
      <c r="F274" s="1020">
        <f>F273*J$13/1000</f>
        <v>2.3370000000000002</v>
      </c>
      <c r="G274" s="1020"/>
      <c r="H274" s="1020"/>
      <c r="I274" s="1020">
        <f>I273*$Q$13/1000</f>
        <v>2.4815637000000001</v>
      </c>
      <c r="J274" s="1020"/>
      <c r="K274" s="1020"/>
      <c r="L274" s="249" t="s">
        <v>394</v>
      </c>
      <c r="M274" s="250" t="s">
        <v>184</v>
      </c>
      <c r="N274" s="406">
        <v>1.0149999999999999</v>
      </c>
      <c r="O274" s="252">
        <f>E273*N274</f>
        <v>3.5524999999999998</v>
      </c>
      <c r="P274" s="236">
        <v>55</v>
      </c>
      <c r="Q274" s="253">
        <f>N274*P274*$N$11</f>
        <v>64.338485557500007</v>
      </c>
      <c r="R274" s="987">
        <f>SUM(Q274:Q276)</f>
        <v>64.728418846341611</v>
      </c>
      <c r="S274" s="988"/>
      <c r="T274" s="988"/>
      <c r="U274" s="1018"/>
      <c r="V274" s="273">
        <f t="shared" si="17"/>
        <v>0</v>
      </c>
      <c r="W274" s="274">
        <f t="shared" si="18"/>
        <v>0</v>
      </c>
      <c r="X274" s="567"/>
    </row>
    <row r="275" spans="1:37" s="405" customFormat="1" ht="12.75">
      <c r="A275" s="1006"/>
      <c r="B275" s="1009"/>
      <c r="C275" s="1012"/>
      <c r="D275" s="1015"/>
      <c r="E275" s="988"/>
      <c r="F275" s="1020"/>
      <c r="G275" s="1020"/>
      <c r="H275" s="1020"/>
      <c r="I275" s="1020"/>
      <c r="J275" s="1020"/>
      <c r="K275" s="1020"/>
      <c r="L275" s="450" t="s">
        <v>185</v>
      </c>
      <c r="M275" s="260" t="s">
        <v>186</v>
      </c>
      <c r="N275" s="407">
        <v>7.0000000000000007E-2</v>
      </c>
      <c r="O275" s="261">
        <f>E273*N275</f>
        <v>0.24500000000000002</v>
      </c>
      <c r="P275" s="237">
        <v>3.5</v>
      </c>
      <c r="Q275" s="412">
        <f>N275*P275*$N$11</f>
        <v>0.28236325950000013</v>
      </c>
      <c r="R275" s="988"/>
      <c r="S275" s="988"/>
      <c r="T275" s="988"/>
      <c r="U275" s="1018"/>
      <c r="V275" s="273">
        <f t="shared" si="17"/>
        <v>0</v>
      </c>
      <c r="W275" s="274">
        <f t="shared" si="18"/>
        <v>0</v>
      </c>
      <c r="X275" s="567"/>
    </row>
    <row r="276" spans="1:37" s="405" customFormat="1" ht="13.5" customHeight="1">
      <c r="A276" s="1007"/>
      <c r="B276" s="1010"/>
      <c r="C276" s="1013"/>
      <c r="D276" s="1016"/>
      <c r="E276" s="989"/>
      <c r="F276" s="1020"/>
      <c r="G276" s="1020"/>
      <c r="H276" s="1020"/>
      <c r="I276" s="1020"/>
      <c r="J276" s="1020"/>
      <c r="K276" s="1020"/>
      <c r="L276" s="263" t="s">
        <v>187</v>
      </c>
      <c r="M276" s="254" t="s">
        <v>184</v>
      </c>
      <c r="N276" s="408">
        <v>8.0000000000000004E-4</v>
      </c>
      <c r="O276" s="256">
        <f>E273*N276</f>
        <v>2.8E-3</v>
      </c>
      <c r="P276" s="411">
        <v>116.67</v>
      </c>
      <c r="Q276" s="258">
        <f>N276*P276*$N$11</f>
        <v>0.10757002934160004</v>
      </c>
      <c r="R276" s="989"/>
      <c r="S276" s="989"/>
      <c r="T276" s="989"/>
      <c r="U276" s="1019"/>
      <c r="V276" s="273">
        <f t="shared" si="17"/>
        <v>0</v>
      </c>
      <c r="W276" s="274">
        <f t="shared" si="18"/>
        <v>0</v>
      </c>
      <c r="X276" s="567"/>
    </row>
    <row r="277" spans="1:37" s="470" customFormat="1" ht="12.75" customHeight="1">
      <c r="A277" s="1005">
        <f>+A273+1</f>
        <v>97</v>
      </c>
      <c r="B277" s="1008" t="s">
        <v>395</v>
      </c>
      <c r="C277" s="1011" t="s">
        <v>400</v>
      </c>
      <c r="D277" s="1014" t="s">
        <v>180</v>
      </c>
      <c r="E277" s="987">
        <v>7.7</v>
      </c>
      <c r="F277" s="990">
        <v>7.63</v>
      </c>
      <c r="G277" s="991"/>
      <c r="H277" s="992"/>
      <c r="I277" s="993">
        <v>1.43</v>
      </c>
      <c r="J277" s="994"/>
      <c r="K277" s="995"/>
      <c r="L277" s="660"/>
      <c r="M277" s="898"/>
      <c r="N277" s="797"/>
      <c r="O277" s="797"/>
      <c r="P277" s="797"/>
      <c r="Q277" s="786"/>
      <c r="R277" s="794">
        <f>F278+I278</f>
        <v>22.439928300000002</v>
      </c>
      <c r="S277" s="987">
        <f>R277+R278</f>
        <v>113.57364993126004</v>
      </c>
      <c r="T277" s="987">
        <f>E277*S277</f>
        <v>874.51710447070229</v>
      </c>
      <c r="U277" s="1017">
        <f t="shared" ref="U277" si="24">E277*R278</f>
        <v>701.72965656070221</v>
      </c>
      <c r="V277" s="273">
        <f t="shared" ref="V277:V292" si="25">+$V$14*S277</f>
        <v>150.81867199577724</v>
      </c>
      <c r="W277" s="274">
        <f t="shared" ref="W277:W292" si="26">+V277*E277</f>
        <v>1161.3037743674847</v>
      </c>
      <c r="X277" s="567"/>
      <c r="Y277" s="405"/>
      <c r="Z277" s="405"/>
      <c r="AA277" s="405"/>
      <c r="AB277" s="405"/>
      <c r="AC277" s="405"/>
      <c r="AD277" s="405"/>
      <c r="AE277" s="405"/>
    </row>
    <row r="278" spans="1:37" s="470" customFormat="1" ht="12.75">
      <c r="A278" s="1006"/>
      <c r="B278" s="1009"/>
      <c r="C278" s="1012"/>
      <c r="D278" s="1015"/>
      <c r="E278" s="988"/>
      <c r="F278" s="1020">
        <f>F277*J$13/1000</f>
        <v>17.831310000000002</v>
      </c>
      <c r="G278" s="1020"/>
      <c r="H278" s="1020"/>
      <c r="I278" s="1020">
        <f>I277*$Q$13/1000</f>
        <v>4.6086182999999998</v>
      </c>
      <c r="J278" s="1020"/>
      <c r="K278" s="1020"/>
      <c r="L278" s="249" t="s">
        <v>394</v>
      </c>
      <c r="M278" s="250" t="s">
        <v>184</v>
      </c>
      <c r="N278" s="252">
        <v>1</v>
      </c>
      <c r="O278" s="252">
        <f>E277*N278</f>
        <v>7.7</v>
      </c>
      <c r="P278" s="236">
        <v>55</v>
      </c>
      <c r="Q278" s="253">
        <f>N278*P278*$N$11</f>
        <v>63.38767050000002</v>
      </c>
      <c r="R278" s="987">
        <f>SUM(Q278:Q282)</f>
        <v>91.13372163126003</v>
      </c>
      <c r="S278" s="988"/>
      <c r="T278" s="988"/>
      <c r="U278" s="1018"/>
      <c r="V278" s="273">
        <f t="shared" si="25"/>
        <v>0</v>
      </c>
      <c r="W278" s="274">
        <f t="shared" si="26"/>
        <v>0</v>
      </c>
      <c r="X278" s="567"/>
      <c r="Y278" s="405"/>
      <c r="Z278" s="405"/>
      <c r="AA278" s="405"/>
      <c r="AB278" s="405"/>
      <c r="AC278" s="405"/>
      <c r="AD278" s="405"/>
      <c r="AE278" s="405"/>
    </row>
    <row r="279" spans="1:37" s="470" customFormat="1" ht="12.75">
      <c r="A279" s="1006"/>
      <c r="B279" s="1009"/>
      <c r="C279" s="1012"/>
      <c r="D279" s="1015"/>
      <c r="E279" s="988"/>
      <c r="F279" s="1020"/>
      <c r="G279" s="1020"/>
      <c r="H279" s="1020"/>
      <c r="I279" s="1020"/>
      <c r="J279" s="1020"/>
      <c r="K279" s="1020"/>
      <c r="L279" s="450" t="s">
        <v>185</v>
      </c>
      <c r="M279" s="260" t="s">
        <v>186</v>
      </c>
      <c r="N279" s="261">
        <v>2.64</v>
      </c>
      <c r="O279" s="261">
        <f>E277*N279</f>
        <v>20.328000000000003</v>
      </c>
      <c r="P279" s="237">
        <v>3.5</v>
      </c>
      <c r="Q279" s="412">
        <f>N279*P279*$N$11</f>
        <v>10.649128644000003</v>
      </c>
      <c r="R279" s="988"/>
      <c r="S279" s="988"/>
      <c r="T279" s="988"/>
      <c r="U279" s="1018"/>
      <c r="V279" s="273">
        <f t="shared" si="25"/>
        <v>0</v>
      </c>
      <c r="W279" s="274">
        <f t="shared" si="26"/>
        <v>0</v>
      </c>
      <c r="X279" s="567"/>
      <c r="Y279" s="405"/>
      <c r="Z279" s="405"/>
      <c r="AA279" s="405"/>
      <c r="AB279" s="405"/>
      <c r="AC279" s="405"/>
      <c r="AD279" s="405"/>
      <c r="AE279" s="405"/>
    </row>
    <row r="280" spans="1:37" s="470" customFormat="1" ht="13.5" customHeight="1">
      <c r="A280" s="1006"/>
      <c r="B280" s="1009"/>
      <c r="C280" s="1012"/>
      <c r="D280" s="1015"/>
      <c r="E280" s="988"/>
      <c r="F280" s="1020"/>
      <c r="G280" s="1020"/>
      <c r="H280" s="1020"/>
      <c r="I280" s="1020"/>
      <c r="J280" s="1020"/>
      <c r="K280" s="1020"/>
      <c r="L280" s="450" t="s">
        <v>187</v>
      </c>
      <c r="M280" s="260" t="s">
        <v>184</v>
      </c>
      <c r="N280" s="261">
        <v>0.06</v>
      </c>
      <c r="O280" s="261">
        <f>E277*N280</f>
        <v>0.46199999999999997</v>
      </c>
      <c r="P280" s="237">
        <v>116.67</v>
      </c>
      <c r="Q280" s="412">
        <f>N280*P280*$N$11</f>
        <v>8.0677522006200011</v>
      </c>
      <c r="R280" s="988"/>
      <c r="S280" s="988"/>
      <c r="T280" s="988"/>
      <c r="U280" s="1018"/>
      <c r="V280" s="273">
        <f t="shared" si="25"/>
        <v>0</v>
      </c>
      <c r="W280" s="274">
        <f t="shared" si="26"/>
        <v>0</v>
      </c>
      <c r="X280" s="567"/>
      <c r="Y280" s="405"/>
      <c r="Z280" s="405"/>
      <c r="AA280" s="405"/>
      <c r="AB280" s="405"/>
      <c r="AC280" s="405"/>
      <c r="AD280" s="405"/>
      <c r="AE280" s="405"/>
    </row>
    <row r="281" spans="1:37" s="470" customFormat="1" ht="13.5" customHeight="1">
      <c r="A281" s="1006"/>
      <c r="B281" s="1009"/>
      <c r="C281" s="1012"/>
      <c r="D281" s="1015"/>
      <c r="E281" s="988"/>
      <c r="F281" s="1020"/>
      <c r="G281" s="1020"/>
      <c r="H281" s="1020"/>
      <c r="I281" s="1020"/>
      <c r="J281" s="1020"/>
      <c r="K281" s="1020"/>
      <c r="L281" s="263" t="s">
        <v>349</v>
      </c>
      <c r="M281" s="254" t="s">
        <v>124</v>
      </c>
      <c r="N281" s="257">
        <v>3.2</v>
      </c>
      <c r="O281" s="257">
        <f>E277*N281</f>
        <v>24.64</v>
      </c>
      <c r="P281" s="411">
        <v>1.167</v>
      </c>
      <c r="Q281" s="258">
        <f>N281*P281*$N$11</f>
        <v>4.3039075766400021</v>
      </c>
      <c r="R281" s="988"/>
      <c r="S281" s="988"/>
      <c r="T281" s="988"/>
      <c r="U281" s="1018"/>
      <c r="V281" s="273">
        <f t="shared" si="25"/>
        <v>0</v>
      </c>
      <c r="W281" s="274">
        <f t="shared" si="26"/>
        <v>0</v>
      </c>
      <c r="X281" s="567"/>
      <c r="Y281" s="405"/>
      <c r="Z281" s="405"/>
      <c r="AA281" s="405"/>
      <c r="AB281" s="405"/>
      <c r="AC281" s="405"/>
      <c r="AD281" s="405"/>
      <c r="AE281" s="405"/>
    </row>
    <row r="282" spans="1:37" s="470" customFormat="1" ht="13.5" customHeight="1">
      <c r="A282" s="1007"/>
      <c r="B282" s="1010"/>
      <c r="C282" s="1013"/>
      <c r="D282" s="1016"/>
      <c r="E282" s="989"/>
      <c r="F282" s="1020"/>
      <c r="G282" s="1020"/>
      <c r="H282" s="1020"/>
      <c r="I282" s="1020"/>
      <c r="J282" s="1020"/>
      <c r="K282" s="1020"/>
      <c r="L282" s="866" t="s">
        <v>190</v>
      </c>
      <c r="M282" s="254" t="s">
        <v>124</v>
      </c>
      <c r="N282" s="256">
        <v>4.0999999999999996</v>
      </c>
      <c r="O282" s="256">
        <f>E277*N282</f>
        <v>31.569999999999997</v>
      </c>
      <c r="P282" s="411">
        <v>1</v>
      </c>
      <c r="Q282" s="258">
        <f>N282*P282*$N$11</f>
        <v>4.7252627100000009</v>
      </c>
      <c r="R282" s="989"/>
      <c r="S282" s="989"/>
      <c r="T282" s="989"/>
      <c r="U282" s="1019"/>
      <c r="V282" s="273">
        <f t="shared" si="25"/>
        <v>0</v>
      </c>
      <c r="W282" s="274">
        <f t="shared" si="26"/>
        <v>0</v>
      </c>
      <c r="X282" s="567"/>
      <c r="Y282" s="405"/>
      <c r="Z282" s="405"/>
      <c r="AA282" s="405"/>
      <c r="AB282" s="405"/>
      <c r="AC282" s="405"/>
      <c r="AD282" s="405"/>
      <c r="AE282" s="405"/>
    </row>
    <row r="283" spans="1:37" s="694" customFormat="1" ht="12.75" customHeight="1">
      <c r="A283" s="1021">
        <f>+A277+1</f>
        <v>98</v>
      </c>
      <c r="B283" s="1022" t="s">
        <v>359</v>
      </c>
      <c r="C283" s="983" t="s">
        <v>399</v>
      </c>
      <c r="D283" s="984" t="s">
        <v>180</v>
      </c>
      <c r="E283" s="996">
        <v>2.7</v>
      </c>
      <c r="F283" s="997">
        <v>4.6100000000000003</v>
      </c>
      <c r="G283" s="997"/>
      <c r="H283" s="997"/>
      <c r="I283" s="998">
        <v>0.81</v>
      </c>
      <c r="J283" s="998"/>
      <c r="K283" s="998"/>
      <c r="L283" s="660"/>
      <c r="M283" s="898"/>
      <c r="N283" s="797"/>
      <c r="O283" s="797"/>
      <c r="P283" s="797"/>
      <c r="Q283" s="786"/>
      <c r="R283" s="795">
        <f>F284+I284</f>
        <v>13.384046100000003</v>
      </c>
      <c r="S283" s="997">
        <f>R283+R284</f>
        <v>88.807224645579922</v>
      </c>
      <c r="T283" s="997">
        <f>E283*S283</f>
        <v>239.77950654306579</v>
      </c>
      <c r="U283" s="982">
        <f>R284*E283</f>
        <v>203.6425820730658</v>
      </c>
      <c r="V283" s="273">
        <f t="shared" si="25"/>
        <v>117.93041513399943</v>
      </c>
      <c r="W283" s="274">
        <f t="shared" si="26"/>
        <v>318.41212086179848</v>
      </c>
      <c r="X283" s="567"/>
      <c r="Y283" s="693"/>
      <c r="Z283" s="693"/>
      <c r="AA283" s="693"/>
      <c r="AB283" s="693"/>
      <c r="AC283" s="693"/>
      <c r="AD283" s="693"/>
      <c r="AE283" s="693"/>
      <c r="AF283" s="693"/>
      <c r="AG283" s="693"/>
      <c r="AH283" s="693"/>
      <c r="AI283" s="693"/>
      <c r="AJ283" s="693"/>
      <c r="AK283" s="693"/>
    </row>
    <row r="284" spans="1:37" s="694" customFormat="1" ht="12.75" customHeight="1">
      <c r="A284" s="1021"/>
      <c r="B284" s="1022"/>
      <c r="C284" s="983"/>
      <c r="D284" s="985"/>
      <c r="E284" s="996"/>
      <c r="F284" s="997">
        <f>F283*J$13/1000</f>
        <v>10.773570000000001</v>
      </c>
      <c r="G284" s="997"/>
      <c r="H284" s="997"/>
      <c r="I284" s="997">
        <f>I283*$Q$13/1000</f>
        <v>2.6104761000000005</v>
      </c>
      <c r="J284" s="997"/>
      <c r="K284" s="997"/>
      <c r="L284" s="249" t="s">
        <v>394</v>
      </c>
      <c r="M284" s="250" t="s">
        <v>184</v>
      </c>
      <c r="N284" s="252">
        <v>1.02</v>
      </c>
      <c r="O284" s="252">
        <f>E283*N284</f>
        <v>2.7540000000000004</v>
      </c>
      <c r="P284" s="236">
        <v>55</v>
      </c>
      <c r="Q284" s="253">
        <f>N284*P284*$N$11</f>
        <v>64.655423910000025</v>
      </c>
      <c r="R284" s="997">
        <f>SUM(Q284:Q286)</f>
        <v>75.423178545579916</v>
      </c>
      <c r="S284" s="997"/>
      <c r="T284" s="997"/>
      <c r="U284" s="982"/>
      <c r="V284" s="273">
        <f t="shared" si="25"/>
        <v>0</v>
      </c>
      <c r="W284" s="274">
        <f t="shared" si="26"/>
        <v>0</v>
      </c>
      <c r="X284" s="567"/>
      <c r="Y284" s="693"/>
      <c r="Z284" s="693"/>
      <c r="AA284" s="693"/>
      <c r="AB284" s="693"/>
      <c r="AC284" s="693"/>
      <c r="AD284" s="693"/>
      <c r="AE284" s="693"/>
      <c r="AF284" s="693"/>
      <c r="AG284" s="693"/>
      <c r="AH284" s="693"/>
      <c r="AI284" s="693"/>
      <c r="AJ284" s="693"/>
      <c r="AK284" s="693"/>
    </row>
    <row r="285" spans="1:37" s="694" customFormat="1" ht="12.75" customHeight="1">
      <c r="A285" s="1021"/>
      <c r="B285" s="1022"/>
      <c r="C285" s="983"/>
      <c r="D285" s="985"/>
      <c r="E285" s="996"/>
      <c r="F285" s="997"/>
      <c r="G285" s="997"/>
      <c r="H285" s="997"/>
      <c r="I285" s="997"/>
      <c r="J285" s="997"/>
      <c r="K285" s="997"/>
      <c r="L285" s="450" t="s">
        <v>185</v>
      </c>
      <c r="M285" s="260" t="s">
        <v>186</v>
      </c>
      <c r="N285" s="261">
        <v>1.37</v>
      </c>
      <c r="O285" s="261">
        <f>E283*N285</f>
        <v>3.6990000000000007</v>
      </c>
      <c r="P285" s="237">
        <v>3.5</v>
      </c>
      <c r="Q285" s="412">
        <f>N285*P285*$N$11</f>
        <v>5.5262523645000012</v>
      </c>
      <c r="R285" s="997"/>
      <c r="S285" s="997"/>
      <c r="T285" s="997"/>
      <c r="U285" s="982"/>
      <c r="V285" s="273">
        <f t="shared" si="25"/>
        <v>0</v>
      </c>
      <c r="W285" s="274">
        <f t="shared" si="26"/>
        <v>0</v>
      </c>
      <c r="X285" s="567"/>
      <c r="Y285" s="693"/>
      <c r="Z285" s="693"/>
      <c r="AA285" s="693"/>
      <c r="AB285" s="693"/>
      <c r="AC285" s="693"/>
      <c r="AD285" s="693"/>
      <c r="AE285" s="693"/>
      <c r="AF285" s="693"/>
      <c r="AG285" s="693"/>
      <c r="AH285" s="693"/>
      <c r="AI285" s="693"/>
      <c r="AJ285" s="693"/>
      <c r="AK285" s="693"/>
    </row>
    <row r="286" spans="1:37" s="694" customFormat="1" ht="12.75" customHeight="1">
      <c r="A286" s="1021"/>
      <c r="B286" s="1022"/>
      <c r="C286" s="983"/>
      <c r="D286" s="986"/>
      <c r="E286" s="996"/>
      <c r="F286" s="997"/>
      <c r="G286" s="997"/>
      <c r="H286" s="997"/>
      <c r="I286" s="997"/>
      <c r="J286" s="997"/>
      <c r="K286" s="997"/>
      <c r="L286" s="450" t="s">
        <v>187</v>
      </c>
      <c r="M286" s="260" t="s">
        <v>184</v>
      </c>
      <c r="N286" s="261">
        <v>3.6999999999999998E-2</v>
      </c>
      <c r="O286" s="261">
        <f>E283*N286</f>
        <v>9.9900000000000003E-2</v>
      </c>
      <c r="P286" s="237">
        <v>122.917</v>
      </c>
      <c r="Q286" s="412">
        <f>N286*P286*$N$11</f>
        <v>5.2415022710799013</v>
      </c>
      <c r="R286" s="997"/>
      <c r="S286" s="997"/>
      <c r="T286" s="997"/>
      <c r="U286" s="982"/>
      <c r="V286" s="273">
        <f t="shared" si="25"/>
        <v>0</v>
      </c>
      <c r="W286" s="274">
        <f t="shared" si="26"/>
        <v>0</v>
      </c>
      <c r="X286" s="567"/>
      <c r="Y286" s="693"/>
      <c r="Z286" s="693"/>
      <c r="AA286" s="693"/>
      <c r="AB286" s="693"/>
      <c r="AC286" s="693"/>
      <c r="AD286" s="693"/>
      <c r="AE286" s="693"/>
      <c r="AF286" s="693"/>
      <c r="AG286" s="693"/>
      <c r="AH286" s="693"/>
      <c r="AI286" s="693"/>
      <c r="AJ286" s="693"/>
      <c r="AK286" s="693"/>
    </row>
    <row r="287" spans="1:37" s="694" customFormat="1" ht="12.75" customHeight="1">
      <c r="A287" s="1000">
        <f>+A283+1</f>
        <v>99</v>
      </c>
      <c r="B287" s="1001" t="s">
        <v>191</v>
      </c>
      <c r="C287" s="965" t="s">
        <v>534</v>
      </c>
      <c r="D287" s="966" t="s">
        <v>326</v>
      </c>
      <c r="E287" s="1003">
        <v>0.39200000000000002</v>
      </c>
      <c r="F287" s="967"/>
      <c r="G287" s="967"/>
      <c r="H287" s="967"/>
      <c r="I287" s="1004"/>
      <c r="J287" s="1004"/>
      <c r="K287" s="1004"/>
      <c r="L287" s="673"/>
      <c r="M287" s="674"/>
      <c r="N287" s="675"/>
      <c r="O287" s="676"/>
      <c r="P287" s="676"/>
      <c r="Q287" s="677"/>
      <c r="R287" s="788">
        <f>F288+I288</f>
        <v>0</v>
      </c>
      <c r="S287" s="999">
        <f>R287+R288</f>
        <v>382.51577889000009</v>
      </c>
      <c r="T287" s="999">
        <f>E287*S287</f>
        <v>149.94618532488005</v>
      </c>
      <c r="U287" s="964">
        <f>R288*E287</f>
        <v>149.94618532488005</v>
      </c>
      <c r="V287" s="273">
        <f t="shared" si="25"/>
        <v>507.95692332276997</v>
      </c>
      <c r="W287" s="274">
        <f t="shared" si="26"/>
        <v>199.11911394252584</v>
      </c>
      <c r="X287" s="567"/>
      <c r="Y287" s="693"/>
      <c r="Z287" s="693"/>
      <c r="AA287" s="693"/>
      <c r="AB287" s="693"/>
      <c r="AC287" s="693"/>
      <c r="AD287" s="693"/>
      <c r="AE287" s="693"/>
      <c r="AF287" s="693"/>
      <c r="AG287" s="693"/>
      <c r="AH287" s="693"/>
      <c r="AI287" s="693"/>
      <c r="AJ287" s="693"/>
      <c r="AK287" s="693"/>
    </row>
    <row r="288" spans="1:37" s="694" customFormat="1" ht="12.75" customHeight="1">
      <c r="A288" s="1000"/>
      <c r="B288" s="1002"/>
      <c r="C288" s="965"/>
      <c r="D288" s="966"/>
      <c r="E288" s="1003"/>
      <c r="F288" s="967"/>
      <c r="G288" s="967"/>
      <c r="H288" s="967"/>
      <c r="I288" s="967"/>
      <c r="J288" s="967"/>
      <c r="K288" s="967"/>
      <c r="L288" s="682" t="s">
        <v>534</v>
      </c>
      <c r="M288" s="683" t="s">
        <v>326</v>
      </c>
      <c r="N288" s="684">
        <v>1</v>
      </c>
      <c r="O288" s="685">
        <f>E287*N288</f>
        <v>0.39200000000000002</v>
      </c>
      <c r="P288" s="686">
        <v>331.9</v>
      </c>
      <c r="Q288" s="687">
        <f>N288*P288*$N$11</f>
        <v>382.51577889000009</v>
      </c>
      <c r="R288" s="788">
        <f>SUM(Q288:Q288)</f>
        <v>382.51577889000009</v>
      </c>
      <c r="S288" s="999"/>
      <c r="T288" s="999"/>
      <c r="U288" s="964"/>
      <c r="V288" s="273">
        <f t="shared" si="25"/>
        <v>0</v>
      </c>
      <c r="W288" s="274">
        <f t="shared" si="26"/>
        <v>0</v>
      </c>
      <c r="X288" s="567"/>
      <c r="Y288" s="693"/>
      <c r="Z288" s="693"/>
      <c r="AA288" s="693"/>
      <c r="AB288" s="693"/>
      <c r="AC288" s="693"/>
      <c r="AD288" s="693"/>
      <c r="AE288" s="693"/>
      <c r="AF288" s="693"/>
      <c r="AG288" s="693"/>
      <c r="AH288" s="693"/>
      <c r="AI288" s="693"/>
      <c r="AJ288" s="693"/>
      <c r="AK288" s="693"/>
    </row>
    <row r="289" spans="1:44" s="694" customFormat="1" ht="12.75" customHeight="1">
      <c r="A289" s="1000">
        <f>+A287+1</f>
        <v>100</v>
      </c>
      <c r="B289" s="1001" t="s">
        <v>191</v>
      </c>
      <c r="C289" s="965" t="s">
        <v>535</v>
      </c>
      <c r="D289" s="966" t="s">
        <v>326</v>
      </c>
      <c r="E289" s="1003">
        <v>0.39200000000000002</v>
      </c>
      <c r="F289" s="967"/>
      <c r="G289" s="967"/>
      <c r="H289" s="967"/>
      <c r="I289" s="1004"/>
      <c r="J289" s="1004"/>
      <c r="K289" s="1004"/>
      <c r="L289" s="673"/>
      <c r="M289" s="674"/>
      <c r="N289" s="675"/>
      <c r="O289" s="676"/>
      <c r="P289" s="676"/>
      <c r="Q289" s="677"/>
      <c r="R289" s="788">
        <f>F290+I290</f>
        <v>0</v>
      </c>
      <c r="S289" s="999">
        <f>R289+R290</f>
        <v>402.73068326400011</v>
      </c>
      <c r="T289" s="999">
        <f>E289*S289</f>
        <v>157.87042783948806</v>
      </c>
      <c r="U289" s="964">
        <f>R290*E289</f>
        <v>157.87042783948806</v>
      </c>
      <c r="V289" s="273">
        <f t="shared" si="25"/>
        <v>534.80104635706152</v>
      </c>
      <c r="W289" s="274">
        <f t="shared" si="26"/>
        <v>209.64201017196814</v>
      </c>
      <c r="X289" s="567"/>
      <c r="Y289" s="693"/>
      <c r="Z289" s="693"/>
      <c r="AA289" s="693"/>
      <c r="AB289" s="693"/>
      <c r="AC289" s="693"/>
      <c r="AD289" s="693"/>
      <c r="AE289" s="693"/>
      <c r="AF289" s="693"/>
      <c r="AG289" s="693"/>
      <c r="AH289" s="693"/>
      <c r="AI289" s="693"/>
      <c r="AJ289" s="693"/>
      <c r="AK289" s="693"/>
    </row>
    <row r="290" spans="1:44" s="694" customFormat="1" ht="12.75" customHeight="1">
      <c r="A290" s="1000"/>
      <c r="B290" s="1002"/>
      <c r="C290" s="965"/>
      <c r="D290" s="966"/>
      <c r="E290" s="1003"/>
      <c r="F290" s="967"/>
      <c r="G290" s="967"/>
      <c r="H290" s="967"/>
      <c r="I290" s="967"/>
      <c r="J290" s="967"/>
      <c r="K290" s="967"/>
      <c r="L290" s="682" t="s">
        <v>535</v>
      </c>
      <c r="M290" s="683" t="s">
        <v>326</v>
      </c>
      <c r="N290" s="684">
        <v>1</v>
      </c>
      <c r="O290" s="685">
        <f>E289*N290</f>
        <v>0.39200000000000002</v>
      </c>
      <c r="P290" s="686">
        <v>349.44</v>
      </c>
      <c r="Q290" s="687">
        <f>N290*P290*$N$11</f>
        <v>402.73068326400011</v>
      </c>
      <c r="R290" s="788">
        <f>SUM(Q290:Q290)</f>
        <v>402.73068326400011</v>
      </c>
      <c r="S290" s="999"/>
      <c r="T290" s="999"/>
      <c r="U290" s="964"/>
      <c r="V290" s="273">
        <f t="shared" si="25"/>
        <v>0</v>
      </c>
      <c r="W290" s="274">
        <f t="shared" si="26"/>
        <v>0</v>
      </c>
      <c r="X290" s="567"/>
      <c r="Y290" s="693"/>
      <c r="Z290" s="693"/>
      <c r="AA290" s="693"/>
      <c r="AB290" s="693"/>
      <c r="AC290" s="693"/>
      <c r="AD290" s="693"/>
      <c r="AE290" s="693"/>
      <c r="AF290" s="693"/>
      <c r="AG290" s="693"/>
      <c r="AH290" s="693"/>
      <c r="AI290" s="693"/>
      <c r="AJ290" s="693"/>
      <c r="AK290" s="693"/>
    </row>
    <row r="291" spans="1:44" s="694" customFormat="1" ht="12.75" customHeight="1">
      <c r="A291" s="1000">
        <f>+A289+1</f>
        <v>101</v>
      </c>
      <c r="B291" s="1001" t="s">
        <v>191</v>
      </c>
      <c r="C291" s="965" t="s">
        <v>392</v>
      </c>
      <c r="D291" s="966" t="s">
        <v>326</v>
      </c>
      <c r="E291" s="1003">
        <v>8.5000000000000006E-2</v>
      </c>
      <c r="F291" s="967"/>
      <c r="G291" s="967"/>
      <c r="H291" s="967"/>
      <c r="I291" s="1004"/>
      <c r="J291" s="1004"/>
      <c r="K291" s="1004"/>
      <c r="L291" s="673"/>
      <c r="M291" s="674"/>
      <c r="N291" s="675"/>
      <c r="O291" s="676"/>
      <c r="P291" s="676"/>
      <c r="Q291" s="677"/>
      <c r="R291" s="788">
        <f>F292+I292</f>
        <v>0</v>
      </c>
      <c r="S291" s="999">
        <f>R291+R292</f>
        <v>409.7793922236001</v>
      </c>
      <c r="T291" s="999">
        <f>E291*S291</f>
        <v>34.831248339006009</v>
      </c>
      <c r="U291" s="964">
        <f>R292*E291</f>
        <v>34.831248339006009</v>
      </c>
      <c r="V291" s="273">
        <f t="shared" si="25"/>
        <v>544.16128902968001</v>
      </c>
      <c r="W291" s="274">
        <f t="shared" si="26"/>
        <v>46.253709567522804</v>
      </c>
      <c r="X291" s="567"/>
      <c r="Y291" s="693"/>
      <c r="Z291" s="693"/>
      <c r="AA291" s="693"/>
      <c r="AB291" s="693"/>
      <c r="AC291" s="693"/>
      <c r="AD291" s="693"/>
      <c r="AE291" s="693"/>
      <c r="AF291" s="693"/>
      <c r="AG291" s="693"/>
      <c r="AH291" s="693"/>
      <c r="AI291" s="693"/>
      <c r="AJ291" s="693"/>
      <c r="AK291" s="693"/>
    </row>
    <row r="292" spans="1:44" s="694" customFormat="1" ht="12.75" customHeight="1">
      <c r="A292" s="1000"/>
      <c r="B292" s="1002"/>
      <c r="C292" s="965"/>
      <c r="D292" s="966"/>
      <c r="E292" s="1003"/>
      <c r="F292" s="967"/>
      <c r="G292" s="967"/>
      <c r="H292" s="967"/>
      <c r="I292" s="967"/>
      <c r="J292" s="967"/>
      <c r="K292" s="967"/>
      <c r="L292" s="682" t="s">
        <v>392</v>
      </c>
      <c r="M292" s="683" t="s">
        <v>326</v>
      </c>
      <c r="N292" s="684">
        <v>1</v>
      </c>
      <c r="O292" s="685">
        <f>E291*N292</f>
        <v>8.5000000000000006E-2</v>
      </c>
      <c r="P292" s="686">
        <v>355.55599999999998</v>
      </c>
      <c r="Q292" s="687">
        <f>N292*P292*$N$11</f>
        <v>409.7793922236001</v>
      </c>
      <c r="R292" s="788">
        <f>SUM(Q292:Q292)</f>
        <v>409.7793922236001</v>
      </c>
      <c r="S292" s="999"/>
      <c r="T292" s="999"/>
      <c r="U292" s="964"/>
      <c r="V292" s="273">
        <f t="shared" si="25"/>
        <v>0</v>
      </c>
      <c r="W292" s="274">
        <f t="shared" si="26"/>
        <v>0</v>
      </c>
      <c r="X292" s="567"/>
      <c r="Y292" s="693"/>
      <c r="Z292" s="693"/>
      <c r="AA292" s="693"/>
      <c r="AB292" s="693"/>
      <c r="AC292" s="693"/>
      <c r="AD292" s="693"/>
      <c r="AE292" s="693"/>
      <c r="AF292" s="693"/>
      <c r="AG292" s="693"/>
      <c r="AH292" s="693"/>
      <c r="AI292" s="693"/>
      <c r="AJ292" s="693"/>
      <c r="AK292" s="693"/>
    </row>
    <row r="293" spans="1:44" s="277" customFormat="1" ht="13.5" customHeight="1">
      <c r="A293" s="275"/>
      <c r="B293" s="276"/>
      <c r="C293" s="1499" t="s">
        <v>325</v>
      </c>
      <c r="D293" s="1500"/>
      <c r="E293" s="1500"/>
      <c r="F293" s="1500"/>
      <c r="G293" s="1500"/>
      <c r="H293" s="1500"/>
      <c r="I293" s="1500"/>
      <c r="J293" s="1500"/>
      <c r="K293" s="1500"/>
      <c r="L293" s="1500"/>
      <c r="M293" s="1500"/>
      <c r="N293" s="1500"/>
      <c r="O293" s="1500"/>
      <c r="P293" s="1500"/>
      <c r="Q293" s="1500"/>
      <c r="R293" s="1500"/>
      <c r="S293" s="1500"/>
      <c r="T293" s="1500"/>
      <c r="U293" s="1500"/>
      <c r="V293" s="1501"/>
      <c r="W293" s="459">
        <f>SUM(W21:W292)</f>
        <v>6860.2954169725281</v>
      </c>
      <c r="Y293" s="561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8"/>
      <c r="AK293" s="158"/>
      <c r="AL293" s="158"/>
      <c r="AM293" s="158"/>
      <c r="AN293" s="158"/>
      <c r="AO293" s="158"/>
      <c r="AP293" s="158"/>
      <c r="AQ293" s="158"/>
      <c r="AR293" s="158"/>
    </row>
    <row r="294" spans="1:44" s="277" customFormat="1" ht="14.25" hidden="1" customHeight="1">
      <c r="A294" s="278"/>
      <c r="B294" s="279"/>
      <c r="C294" s="306" t="s">
        <v>119</v>
      </c>
      <c r="D294" s="280"/>
      <c r="E294" s="281"/>
      <c r="F294" s="282"/>
      <c r="G294" s="283"/>
      <c r="H294" s="282"/>
      <c r="I294" s="282"/>
      <c r="J294" s="283"/>
      <c r="K294" s="282"/>
      <c r="L294" s="284"/>
      <c r="M294" s="285"/>
      <c r="N294" s="286"/>
      <c r="O294" s="287"/>
      <c r="P294" s="282"/>
      <c r="Q294" s="283"/>
      <c r="R294" s="287"/>
      <c r="S294" s="287"/>
      <c r="T294" s="288"/>
      <c r="U294" s="289"/>
      <c r="V294" s="290"/>
      <c r="W294" s="291">
        <f>W293*D294</f>
        <v>0</v>
      </c>
      <c r="X294" s="359"/>
      <c r="Y294" s="158"/>
      <c r="Z294" s="158"/>
      <c r="AA294" s="158"/>
      <c r="AB294" s="158"/>
      <c r="AC294" s="158"/>
      <c r="AD294" s="158"/>
      <c r="AE294" s="158"/>
      <c r="AF294" s="158"/>
      <c r="AG294" s="158"/>
      <c r="AH294" s="158"/>
      <c r="AI294" s="158"/>
      <c r="AJ294" s="158"/>
      <c r="AK294" s="158"/>
      <c r="AL294" s="158"/>
      <c r="AM294" s="158"/>
      <c r="AN294" s="158"/>
      <c r="AO294" s="158"/>
      <c r="AP294" s="158"/>
      <c r="AQ294" s="158"/>
      <c r="AR294" s="158"/>
    </row>
    <row r="295" spans="1:44" s="277" customFormat="1" ht="10.5" hidden="1" customHeight="1">
      <c r="A295" s="278"/>
      <c r="B295" s="279"/>
      <c r="C295" s="306" t="s">
        <v>117</v>
      </c>
      <c r="D295" s="280"/>
      <c r="E295" s="287"/>
      <c r="F295" s="282"/>
      <c r="G295" s="283"/>
      <c r="H295" s="282"/>
      <c r="I295" s="282"/>
      <c r="J295" s="283"/>
      <c r="K295" s="282"/>
      <c r="L295" s="284"/>
      <c r="M295" s="285"/>
      <c r="N295" s="286"/>
      <c r="O295" s="287"/>
      <c r="P295" s="282"/>
      <c r="Q295" s="283"/>
      <c r="R295" s="287"/>
      <c r="S295" s="287"/>
      <c r="T295" s="288"/>
      <c r="U295" s="289"/>
      <c r="V295" s="292"/>
      <c r="W295" s="291">
        <f>SUM(W293:W294)</f>
        <v>6860.2954169725281</v>
      </c>
      <c r="X295" s="359"/>
      <c r="Y295" s="158"/>
      <c r="Z295" s="158"/>
      <c r="AA295" s="158"/>
      <c r="AB295" s="158"/>
      <c r="AC295" s="158"/>
      <c r="AD295" s="158"/>
      <c r="AE295" s="158"/>
      <c r="AF295" s="158"/>
      <c r="AG295" s="158"/>
      <c r="AH295" s="158"/>
      <c r="AI295" s="158"/>
      <c r="AJ295" s="158"/>
      <c r="AK295" s="158"/>
      <c r="AL295" s="158"/>
      <c r="AM295" s="158"/>
      <c r="AN295" s="158"/>
      <c r="AO295" s="158"/>
      <c r="AP295" s="158"/>
      <c r="AQ295" s="158"/>
      <c r="AR295" s="158"/>
    </row>
    <row r="296" spans="1:44" s="277" customFormat="1" ht="17.25" customHeight="1">
      <c r="A296" s="278"/>
      <c r="B296" s="279"/>
      <c r="C296" s="306" t="s">
        <v>135</v>
      </c>
      <c r="D296" s="280"/>
      <c r="E296" s="287"/>
      <c r="F296" s="282"/>
      <c r="G296" s="283"/>
      <c r="H296" s="282"/>
      <c r="I296" s="282"/>
      <c r="J296" s="283"/>
      <c r="K296" s="282"/>
      <c r="L296" s="284"/>
      <c r="M296" s="285"/>
      <c r="N296" s="286"/>
      <c r="O296" s="287"/>
      <c r="P296" s="282"/>
      <c r="Q296" s="283"/>
      <c r="R296" s="287"/>
      <c r="S296" s="287"/>
      <c r="T296" s="288"/>
      <c r="U296" s="289"/>
      <c r="V296" s="292"/>
      <c r="W296" s="291">
        <f>+'ԱՄՓՈՓ  '!F34</f>
        <v>0</v>
      </c>
      <c r="X296" s="360">
        <f>+W296/W297</f>
        <v>0</v>
      </c>
      <c r="Z296" s="158"/>
      <c r="AA296" s="158"/>
      <c r="AB296" s="158"/>
      <c r="AC296" s="158"/>
      <c r="AD296" s="158"/>
      <c r="AE296" s="158"/>
      <c r="AF296" s="158"/>
      <c r="AG296" s="158"/>
      <c r="AH296" s="158"/>
      <c r="AI296" s="158"/>
      <c r="AJ296" s="158"/>
      <c r="AK296" s="158"/>
      <c r="AL296" s="158"/>
      <c r="AM296" s="158"/>
      <c r="AN296" s="158"/>
      <c r="AO296" s="158"/>
      <c r="AP296" s="158"/>
      <c r="AQ296" s="158"/>
      <c r="AR296" s="158"/>
    </row>
    <row r="297" spans="1:44" s="277" customFormat="1" ht="15" customHeight="1">
      <c r="A297" s="278"/>
      <c r="B297" s="279"/>
      <c r="C297" s="306" t="s">
        <v>117</v>
      </c>
      <c r="D297" s="280"/>
      <c r="E297" s="287"/>
      <c r="F297" s="282"/>
      <c r="G297" s="283"/>
      <c r="H297" s="282"/>
      <c r="I297" s="282"/>
      <c r="J297" s="283"/>
      <c r="K297" s="282"/>
      <c r="L297" s="284"/>
      <c r="M297" s="285"/>
      <c r="N297" s="286"/>
      <c r="O297" s="287"/>
      <c r="P297" s="282"/>
      <c r="Q297" s="283"/>
      <c r="R297" s="287"/>
      <c r="S297" s="287"/>
      <c r="T297" s="288"/>
      <c r="U297" s="289"/>
      <c r="V297" s="292"/>
      <c r="W297" s="291">
        <f>+W295+W296</f>
        <v>6860.2954169725281</v>
      </c>
      <c r="X297" s="362">
        <f>SUM(X21:X296)</f>
        <v>0</v>
      </c>
      <c r="Y297" s="158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  <c r="AN297" s="158"/>
      <c r="AO297" s="158"/>
      <c r="AP297" s="158"/>
      <c r="AQ297" s="158"/>
      <c r="AR297" s="158"/>
    </row>
    <row r="298" spans="1:44" s="277" customFormat="1" ht="13.5" customHeight="1">
      <c r="A298" s="278"/>
      <c r="B298" s="279"/>
      <c r="C298" s="306" t="s">
        <v>55</v>
      </c>
      <c r="D298" s="280">
        <v>0.2</v>
      </c>
      <c r="E298" s="287"/>
      <c r="F298" s="282"/>
      <c r="G298" s="283"/>
      <c r="H298" s="282"/>
      <c r="I298" s="282"/>
      <c r="J298" s="283"/>
      <c r="K298" s="282"/>
      <c r="L298" s="284"/>
      <c r="M298" s="285"/>
      <c r="N298" s="286"/>
      <c r="O298" s="287"/>
      <c r="P298" s="282"/>
      <c r="Q298" s="283"/>
      <c r="R298" s="287"/>
      <c r="S298" s="287"/>
      <c r="T298" s="288"/>
      <c r="U298" s="289"/>
      <c r="V298" s="292"/>
      <c r="W298" s="291">
        <f>+(W297)*D298</f>
        <v>1372.0590833945057</v>
      </c>
      <c r="X298" s="359"/>
      <c r="Y298" s="158"/>
      <c r="Z298" s="158"/>
      <c r="AA298" s="158"/>
      <c r="AB298" s="158"/>
      <c r="AC298" s="158"/>
      <c r="AD298" s="158"/>
      <c r="AE298" s="158"/>
      <c r="AF298" s="158"/>
      <c r="AG298" s="158"/>
      <c r="AH298" s="158"/>
      <c r="AI298" s="158"/>
      <c r="AJ298" s="158"/>
      <c r="AK298" s="158"/>
      <c r="AL298" s="158"/>
      <c r="AM298" s="158"/>
      <c r="AN298" s="158"/>
      <c r="AO298" s="158"/>
      <c r="AP298" s="158"/>
      <c r="AQ298" s="158"/>
      <c r="AR298" s="158"/>
    </row>
    <row r="299" spans="1:44" s="277" customFormat="1" ht="13.5" customHeight="1">
      <c r="A299" s="278"/>
      <c r="B299" s="279"/>
      <c r="C299" s="307" t="s">
        <v>136</v>
      </c>
      <c r="D299" s="293"/>
      <c r="E299" s="287"/>
      <c r="F299" s="282"/>
      <c r="G299" s="283"/>
      <c r="H299" s="282"/>
      <c r="I299" s="282"/>
      <c r="J299" s="283"/>
      <c r="K299" s="282"/>
      <c r="L299" s="284"/>
      <c r="M299" s="285"/>
      <c r="N299" s="286"/>
      <c r="O299" s="287"/>
      <c r="P299" s="282"/>
      <c r="Q299" s="283"/>
      <c r="R299" s="287"/>
      <c r="S299" s="287"/>
      <c r="T299" s="288"/>
      <c r="U299" s="289"/>
      <c r="V299" s="292"/>
      <c r="W299" s="294">
        <f>SUM(W297:W298)</f>
        <v>8232.3545003670333</v>
      </c>
      <c r="X299" s="359"/>
      <c r="Y299" s="158"/>
      <c r="Z299" s="158"/>
      <c r="AA299" s="158"/>
      <c r="AB299" s="158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  <c r="AN299" s="158"/>
      <c r="AO299" s="158"/>
      <c r="AP299" s="158"/>
      <c r="AQ299" s="158"/>
      <c r="AR299" s="158"/>
    </row>
    <row r="300" spans="1:44" s="277" customFormat="1" ht="14.25" customHeight="1" thickBot="1">
      <c r="A300" s="356"/>
      <c r="B300" s="295"/>
      <c r="C300" s="307" t="s">
        <v>121</v>
      </c>
      <c r="D300" s="296"/>
      <c r="E300" s="297"/>
      <c r="F300" s="298"/>
      <c r="G300" s="299"/>
      <c r="H300" s="298"/>
      <c r="I300" s="298"/>
      <c r="J300" s="299"/>
      <c r="K300" s="298"/>
      <c r="L300" s="300"/>
      <c r="M300" s="301"/>
      <c r="N300" s="302"/>
      <c r="O300" s="303"/>
      <c r="P300" s="302"/>
      <c r="Q300" s="303"/>
      <c r="R300" s="303"/>
      <c r="S300" s="303"/>
      <c r="T300" s="304"/>
      <c r="U300" s="303"/>
      <c r="V300" s="305"/>
      <c r="W300" s="460">
        <f>+W299</f>
        <v>8232.3545003670333</v>
      </c>
      <c r="X300" s="360"/>
      <c r="Y300" s="461">
        <f>+'ԱՄՓՈՓ  '!D67+'ԱՄՓՈՓ  '!F35*1.2</f>
        <v>8232.3545003670315</v>
      </c>
      <c r="Z300" s="461">
        <f>+W300-Y300</f>
        <v>0</v>
      </c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</row>
    <row r="301" spans="1:44" s="157" customFormat="1" ht="21" customHeight="1" thickTop="1">
      <c r="A301" s="159"/>
      <c r="B301" s="160"/>
      <c r="C301" s="1502" t="s">
        <v>146</v>
      </c>
      <c r="D301" s="1502"/>
      <c r="E301" s="1502"/>
      <c r="F301" s="1502"/>
      <c r="G301" s="1502"/>
      <c r="H301" s="1502"/>
      <c r="I301" s="1502"/>
      <c r="J301" s="1502"/>
      <c r="K301" s="1502"/>
      <c r="L301" s="1502"/>
      <c r="M301" s="1502"/>
      <c r="N301" s="1502"/>
      <c r="O301" s="1502"/>
      <c r="P301" s="1502"/>
      <c r="Q301" s="1502"/>
      <c r="R301" s="1502"/>
      <c r="S301" s="1502"/>
      <c r="T301" s="1502"/>
      <c r="U301" s="1502"/>
      <c r="V301" s="1502"/>
      <c r="W301" s="1502"/>
      <c r="X301" s="359"/>
      <c r="Y301" s="158"/>
      <c r="Z301" s="158"/>
      <c r="AA301" s="158"/>
      <c r="AB301" s="158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  <c r="AN301" s="158"/>
      <c r="AO301" s="158"/>
      <c r="AP301" s="158"/>
      <c r="AQ301" s="158"/>
      <c r="AR301" s="158"/>
    </row>
    <row r="303" spans="1:44">
      <c r="V303" s="631">
        <f>+$V$14*(S303-P304)</f>
        <v>0</v>
      </c>
      <c r="W303" s="632" t="s">
        <v>229</v>
      </c>
    </row>
  </sheetData>
  <mergeCells count="1343">
    <mergeCell ref="U291:U292"/>
    <mergeCell ref="F292:H292"/>
    <mergeCell ref="I292:K292"/>
    <mergeCell ref="A291:A292"/>
    <mergeCell ref="B291:B292"/>
    <mergeCell ref="C291:C292"/>
    <mergeCell ref="D291:D292"/>
    <mergeCell ref="E291:E292"/>
    <mergeCell ref="F291:H291"/>
    <mergeCell ref="I291:K291"/>
    <mergeCell ref="S291:S292"/>
    <mergeCell ref="T291:T292"/>
    <mergeCell ref="U287:U288"/>
    <mergeCell ref="F288:H288"/>
    <mergeCell ref="I288:K288"/>
    <mergeCell ref="A289:A290"/>
    <mergeCell ref="B289:B290"/>
    <mergeCell ref="C289:C290"/>
    <mergeCell ref="D289:D290"/>
    <mergeCell ref="E289:E290"/>
    <mergeCell ref="F289:H289"/>
    <mergeCell ref="I289:K289"/>
    <mergeCell ref="S289:S290"/>
    <mergeCell ref="T289:T290"/>
    <mergeCell ref="U289:U290"/>
    <mergeCell ref="F290:H290"/>
    <mergeCell ref="I290:K290"/>
    <mergeCell ref="A287:A288"/>
    <mergeCell ref="B287:B288"/>
    <mergeCell ref="C287:C288"/>
    <mergeCell ref="D287:D288"/>
    <mergeCell ref="E287:E288"/>
    <mergeCell ref="F287:H287"/>
    <mergeCell ref="I287:K287"/>
    <mergeCell ref="S287:S288"/>
    <mergeCell ref="T287:T288"/>
    <mergeCell ref="U277:U282"/>
    <mergeCell ref="F278:H282"/>
    <mergeCell ref="I278:K282"/>
    <mergeCell ref="R278:R282"/>
    <mergeCell ref="A283:A286"/>
    <mergeCell ref="B283:B286"/>
    <mergeCell ref="C283:C286"/>
    <mergeCell ref="D283:D286"/>
    <mergeCell ref="E283:E286"/>
    <mergeCell ref="F283:H283"/>
    <mergeCell ref="I283:K283"/>
    <mergeCell ref="S283:S286"/>
    <mergeCell ref="T283:T286"/>
    <mergeCell ref="U283:U286"/>
    <mergeCell ref="F284:H286"/>
    <mergeCell ref="I284:K286"/>
    <mergeCell ref="R284:R286"/>
    <mergeCell ref="A277:A282"/>
    <mergeCell ref="B277:B282"/>
    <mergeCell ref="C277:C282"/>
    <mergeCell ref="D277:D282"/>
    <mergeCell ref="E277:E282"/>
    <mergeCell ref="F277:H277"/>
    <mergeCell ref="I277:K277"/>
    <mergeCell ref="S277:S282"/>
    <mergeCell ref="T277:T282"/>
    <mergeCell ref="U271:U272"/>
    <mergeCell ref="F272:H272"/>
    <mergeCell ref="I272:K272"/>
    <mergeCell ref="A273:A276"/>
    <mergeCell ref="B273:B276"/>
    <mergeCell ref="C273:C276"/>
    <mergeCell ref="D273:D276"/>
    <mergeCell ref="E273:E276"/>
    <mergeCell ref="F273:H273"/>
    <mergeCell ref="I273:K273"/>
    <mergeCell ref="S273:S276"/>
    <mergeCell ref="T273:T276"/>
    <mergeCell ref="U273:U276"/>
    <mergeCell ref="F274:H276"/>
    <mergeCell ref="I274:K276"/>
    <mergeCell ref="R274:R276"/>
    <mergeCell ref="A271:A272"/>
    <mergeCell ref="B271:B272"/>
    <mergeCell ref="C271:C272"/>
    <mergeCell ref="D271:D272"/>
    <mergeCell ref="E271:E272"/>
    <mergeCell ref="F271:H271"/>
    <mergeCell ref="I271:K271"/>
    <mergeCell ref="S271:S272"/>
    <mergeCell ref="T271:T272"/>
    <mergeCell ref="U267:U268"/>
    <mergeCell ref="F268:H268"/>
    <mergeCell ref="I268:K268"/>
    <mergeCell ref="A269:A270"/>
    <mergeCell ref="B269:B270"/>
    <mergeCell ref="C269:C270"/>
    <mergeCell ref="D269:D270"/>
    <mergeCell ref="E269:E270"/>
    <mergeCell ref="F269:H269"/>
    <mergeCell ref="I269:K269"/>
    <mergeCell ref="S269:S270"/>
    <mergeCell ref="T269:T270"/>
    <mergeCell ref="U269:U270"/>
    <mergeCell ref="F270:H270"/>
    <mergeCell ref="I270:K270"/>
    <mergeCell ref="A267:A268"/>
    <mergeCell ref="B267:B268"/>
    <mergeCell ref="C267:C268"/>
    <mergeCell ref="D267:D268"/>
    <mergeCell ref="E267:E268"/>
    <mergeCell ref="F267:H267"/>
    <mergeCell ref="I267:K267"/>
    <mergeCell ref="S267:S268"/>
    <mergeCell ref="T267:T268"/>
    <mergeCell ref="U263:U264"/>
    <mergeCell ref="F264:H264"/>
    <mergeCell ref="I264:K264"/>
    <mergeCell ref="A265:A266"/>
    <mergeCell ref="B265:B266"/>
    <mergeCell ref="C265:C266"/>
    <mergeCell ref="D265:D266"/>
    <mergeCell ref="E265:E266"/>
    <mergeCell ref="F265:H265"/>
    <mergeCell ref="I265:K265"/>
    <mergeCell ref="S265:S266"/>
    <mergeCell ref="T265:T266"/>
    <mergeCell ref="U265:U266"/>
    <mergeCell ref="F266:H266"/>
    <mergeCell ref="I266:K266"/>
    <mergeCell ref="A263:A264"/>
    <mergeCell ref="B263:B264"/>
    <mergeCell ref="C263:C264"/>
    <mergeCell ref="D263:D264"/>
    <mergeCell ref="E263:E264"/>
    <mergeCell ref="F263:H263"/>
    <mergeCell ref="I263:K263"/>
    <mergeCell ref="S263:S264"/>
    <mergeCell ref="T263:T264"/>
    <mergeCell ref="F259:H260"/>
    <mergeCell ref="I259:K260"/>
    <mergeCell ref="R259:R260"/>
    <mergeCell ref="A261:A262"/>
    <mergeCell ref="B261:B262"/>
    <mergeCell ref="C261:C262"/>
    <mergeCell ref="D261:D262"/>
    <mergeCell ref="E261:E262"/>
    <mergeCell ref="F261:H261"/>
    <mergeCell ref="I261:K261"/>
    <mergeCell ref="S261:S262"/>
    <mergeCell ref="T261:T262"/>
    <mergeCell ref="U261:U262"/>
    <mergeCell ref="F262:H262"/>
    <mergeCell ref="I262:K262"/>
    <mergeCell ref="U256:U257"/>
    <mergeCell ref="F257:H257"/>
    <mergeCell ref="I257:K257"/>
    <mergeCell ref="A258:A260"/>
    <mergeCell ref="B258:B260"/>
    <mergeCell ref="C258:C260"/>
    <mergeCell ref="D258:D260"/>
    <mergeCell ref="E258:E260"/>
    <mergeCell ref="F258:H258"/>
    <mergeCell ref="I258:K258"/>
    <mergeCell ref="S258:S260"/>
    <mergeCell ref="T258:T260"/>
    <mergeCell ref="U258:U260"/>
    <mergeCell ref="A256:A257"/>
    <mergeCell ref="B256:B257"/>
    <mergeCell ref="C256:C257"/>
    <mergeCell ref="D256:D257"/>
    <mergeCell ref="E256:E257"/>
    <mergeCell ref="F256:H256"/>
    <mergeCell ref="I256:K256"/>
    <mergeCell ref="S256:S257"/>
    <mergeCell ref="T256:T257"/>
    <mergeCell ref="U252:U253"/>
    <mergeCell ref="F253:H253"/>
    <mergeCell ref="I253:K253"/>
    <mergeCell ref="A254:A255"/>
    <mergeCell ref="B254:B255"/>
    <mergeCell ref="C254:C255"/>
    <mergeCell ref="D254:D255"/>
    <mergeCell ref="E254:E255"/>
    <mergeCell ref="F254:H254"/>
    <mergeCell ref="I254:K254"/>
    <mergeCell ref="S254:S255"/>
    <mergeCell ref="T254:T255"/>
    <mergeCell ref="U254:U255"/>
    <mergeCell ref="F255:H255"/>
    <mergeCell ref="I255:K255"/>
    <mergeCell ref="A252:A253"/>
    <mergeCell ref="B252:B253"/>
    <mergeCell ref="C252:C253"/>
    <mergeCell ref="D252:D253"/>
    <mergeCell ref="E252:E253"/>
    <mergeCell ref="F252:H252"/>
    <mergeCell ref="I252:K252"/>
    <mergeCell ref="S252:S253"/>
    <mergeCell ref="T252:T253"/>
    <mergeCell ref="U247:U249"/>
    <mergeCell ref="F248:H249"/>
    <mergeCell ref="I248:K249"/>
    <mergeCell ref="R248:R249"/>
    <mergeCell ref="A250:A251"/>
    <mergeCell ref="B250:B251"/>
    <mergeCell ref="C250:C251"/>
    <mergeCell ref="D250:D251"/>
    <mergeCell ref="E250:E251"/>
    <mergeCell ref="F250:H250"/>
    <mergeCell ref="I250:K250"/>
    <mergeCell ref="S250:S251"/>
    <mergeCell ref="T250:T251"/>
    <mergeCell ref="U250:U251"/>
    <mergeCell ref="F251:H251"/>
    <mergeCell ref="I251:K251"/>
    <mergeCell ref="A247:A249"/>
    <mergeCell ref="B247:B249"/>
    <mergeCell ref="C247:C249"/>
    <mergeCell ref="D247:D249"/>
    <mergeCell ref="E247:E249"/>
    <mergeCell ref="F247:H247"/>
    <mergeCell ref="I247:K247"/>
    <mergeCell ref="S247:S249"/>
    <mergeCell ref="T247:T249"/>
    <mergeCell ref="U243:U244"/>
    <mergeCell ref="F244:H244"/>
    <mergeCell ref="I244:K244"/>
    <mergeCell ref="A245:A246"/>
    <mergeCell ref="B245:B246"/>
    <mergeCell ref="C245:C246"/>
    <mergeCell ref="D245:D246"/>
    <mergeCell ref="E245:E246"/>
    <mergeCell ref="F245:H245"/>
    <mergeCell ref="I245:K245"/>
    <mergeCell ref="S245:S246"/>
    <mergeCell ref="T245:T246"/>
    <mergeCell ref="U245:U246"/>
    <mergeCell ref="F246:H246"/>
    <mergeCell ref="I246:K246"/>
    <mergeCell ref="A243:A244"/>
    <mergeCell ref="B243:B244"/>
    <mergeCell ref="C243:C244"/>
    <mergeCell ref="D243:D244"/>
    <mergeCell ref="E243:E244"/>
    <mergeCell ref="F243:H243"/>
    <mergeCell ref="I243:K243"/>
    <mergeCell ref="S243:S244"/>
    <mergeCell ref="T243:T244"/>
    <mergeCell ref="U239:U240"/>
    <mergeCell ref="F240:H240"/>
    <mergeCell ref="I240:K240"/>
    <mergeCell ref="A241:A242"/>
    <mergeCell ref="B241:B242"/>
    <mergeCell ref="C241:C242"/>
    <mergeCell ref="D241:D242"/>
    <mergeCell ref="E241:E242"/>
    <mergeCell ref="F241:H241"/>
    <mergeCell ref="I241:K241"/>
    <mergeCell ref="S241:S242"/>
    <mergeCell ref="T241:T242"/>
    <mergeCell ref="U241:U242"/>
    <mergeCell ref="F242:H242"/>
    <mergeCell ref="I242:K242"/>
    <mergeCell ref="A239:A240"/>
    <mergeCell ref="B239:B240"/>
    <mergeCell ref="C239:C240"/>
    <mergeCell ref="D239:D240"/>
    <mergeCell ref="E239:E240"/>
    <mergeCell ref="F239:H239"/>
    <mergeCell ref="I239:K239"/>
    <mergeCell ref="S239:S240"/>
    <mergeCell ref="T239:T240"/>
    <mergeCell ref="T235:T236"/>
    <mergeCell ref="U235:U236"/>
    <mergeCell ref="F236:H236"/>
    <mergeCell ref="I236:K236"/>
    <mergeCell ref="A237:A238"/>
    <mergeCell ref="B237:B238"/>
    <mergeCell ref="C237:C238"/>
    <mergeCell ref="D237:D238"/>
    <mergeCell ref="E237:E238"/>
    <mergeCell ref="F237:H237"/>
    <mergeCell ref="I237:K237"/>
    <mergeCell ref="R237:R238"/>
    <mergeCell ref="S237:S238"/>
    <mergeCell ref="T237:T238"/>
    <mergeCell ref="U237:U238"/>
    <mergeCell ref="F238:H238"/>
    <mergeCell ref="I238:K238"/>
    <mergeCell ref="A235:A236"/>
    <mergeCell ref="B235:B236"/>
    <mergeCell ref="C235:C236"/>
    <mergeCell ref="D235:D236"/>
    <mergeCell ref="E235:E236"/>
    <mergeCell ref="F235:H235"/>
    <mergeCell ref="I235:K235"/>
    <mergeCell ref="R235:R236"/>
    <mergeCell ref="S235:S236"/>
    <mergeCell ref="T231:T232"/>
    <mergeCell ref="U231:U232"/>
    <mergeCell ref="F232:H232"/>
    <mergeCell ref="I232:K232"/>
    <mergeCell ref="A233:A234"/>
    <mergeCell ref="B233:B234"/>
    <mergeCell ref="C233:C234"/>
    <mergeCell ref="D233:D234"/>
    <mergeCell ref="E233:E234"/>
    <mergeCell ref="F233:H233"/>
    <mergeCell ref="I233:K233"/>
    <mergeCell ref="R233:R234"/>
    <mergeCell ref="S233:S234"/>
    <mergeCell ref="T233:T234"/>
    <mergeCell ref="U233:U234"/>
    <mergeCell ref="F234:H234"/>
    <mergeCell ref="I234:K234"/>
    <mergeCell ref="A231:A232"/>
    <mergeCell ref="B231:B232"/>
    <mergeCell ref="C231:C232"/>
    <mergeCell ref="D231:D232"/>
    <mergeCell ref="E231:E232"/>
    <mergeCell ref="F231:H231"/>
    <mergeCell ref="I231:K231"/>
    <mergeCell ref="R231:R232"/>
    <mergeCell ref="S231:S232"/>
    <mergeCell ref="U224:U226"/>
    <mergeCell ref="F225:H226"/>
    <mergeCell ref="I225:K226"/>
    <mergeCell ref="R225:R226"/>
    <mergeCell ref="A227:A229"/>
    <mergeCell ref="B227:B229"/>
    <mergeCell ref="C227:C229"/>
    <mergeCell ref="D227:D229"/>
    <mergeCell ref="E227:E229"/>
    <mergeCell ref="F227:H227"/>
    <mergeCell ref="I227:K227"/>
    <mergeCell ref="S227:S229"/>
    <mergeCell ref="T227:T229"/>
    <mergeCell ref="U227:U229"/>
    <mergeCell ref="F228:H229"/>
    <mergeCell ref="I228:K229"/>
    <mergeCell ref="R228:R229"/>
    <mergeCell ref="A224:A226"/>
    <mergeCell ref="B224:B226"/>
    <mergeCell ref="C224:C226"/>
    <mergeCell ref="D224:D226"/>
    <mergeCell ref="E224:E226"/>
    <mergeCell ref="F224:H224"/>
    <mergeCell ref="I224:K224"/>
    <mergeCell ref="S224:S226"/>
    <mergeCell ref="T224:T226"/>
    <mergeCell ref="U220:U221"/>
    <mergeCell ref="F221:H221"/>
    <mergeCell ref="I221:K221"/>
    <mergeCell ref="A222:A223"/>
    <mergeCell ref="B222:B223"/>
    <mergeCell ref="C222:C223"/>
    <mergeCell ref="D222:D223"/>
    <mergeCell ref="E222:E223"/>
    <mergeCell ref="F222:H222"/>
    <mergeCell ref="I222:K222"/>
    <mergeCell ref="S222:S223"/>
    <mergeCell ref="T222:T223"/>
    <mergeCell ref="U222:U223"/>
    <mergeCell ref="F223:H223"/>
    <mergeCell ref="I223:K223"/>
    <mergeCell ref="A220:A221"/>
    <mergeCell ref="B220:B221"/>
    <mergeCell ref="C220:C221"/>
    <mergeCell ref="D220:D221"/>
    <mergeCell ref="E220:E221"/>
    <mergeCell ref="F220:H220"/>
    <mergeCell ref="I220:K220"/>
    <mergeCell ref="S220:S221"/>
    <mergeCell ref="T220:T221"/>
    <mergeCell ref="U213:U214"/>
    <mergeCell ref="F214:H214"/>
    <mergeCell ref="I214:K214"/>
    <mergeCell ref="A215:A219"/>
    <mergeCell ref="B215:B219"/>
    <mergeCell ref="C215:C219"/>
    <mergeCell ref="D215:D219"/>
    <mergeCell ref="E215:E219"/>
    <mergeCell ref="F215:H215"/>
    <mergeCell ref="I215:K215"/>
    <mergeCell ref="S215:S219"/>
    <mergeCell ref="T215:T219"/>
    <mergeCell ref="U215:U219"/>
    <mergeCell ref="F216:H219"/>
    <mergeCell ref="I216:K219"/>
    <mergeCell ref="R216:R219"/>
    <mergeCell ref="A213:A214"/>
    <mergeCell ref="B213:B214"/>
    <mergeCell ref="C213:C214"/>
    <mergeCell ref="D213:D214"/>
    <mergeCell ref="E213:E214"/>
    <mergeCell ref="F213:H213"/>
    <mergeCell ref="I213:K213"/>
    <mergeCell ref="S213:S214"/>
    <mergeCell ref="T213:T214"/>
    <mergeCell ref="U207:U210"/>
    <mergeCell ref="F208:H210"/>
    <mergeCell ref="I208:K210"/>
    <mergeCell ref="R208:R210"/>
    <mergeCell ref="A211:A212"/>
    <mergeCell ref="B211:B212"/>
    <mergeCell ref="C211:C212"/>
    <mergeCell ref="D211:D212"/>
    <mergeCell ref="E211:E212"/>
    <mergeCell ref="F211:H211"/>
    <mergeCell ref="I211:K211"/>
    <mergeCell ref="R211:R212"/>
    <mergeCell ref="S211:S212"/>
    <mergeCell ref="T211:T212"/>
    <mergeCell ref="F212:H212"/>
    <mergeCell ref="I212:K212"/>
    <mergeCell ref="A207:A210"/>
    <mergeCell ref="B207:B210"/>
    <mergeCell ref="C207:C210"/>
    <mergeCell ref="D207:D210"/>
    <mergeCell ref="E207:E210"/>
    <mergeCell ref="F207:H207"/>
    <mergeCell ref="I207:K207"/>
    <mergeCell ref="S207:S210"/>
    <mergeCell ref="T207:T210"/>
    <mergeCell ref="F203:H204"/>
    <mergeCell ref="I203:K204"/>
    <mergeCell ref="R203:R204"/>
    <mergeCell ref="A205:A206"/>
    <mergeCell ref="B205:B206"/>
    <mergeCell ref="C205:C206"/>
    <mergeCell ref="D205:D206"/>
    <mergeCell ref="E205:E206"/>
    <mergeCell ref="F205:H205"/>
    <mergeCell ref="I205:K205"/>
    <mergeCell ref="R205:R206"/>
    <mergeCell ref="S205:S206"/>
    <mergeCell ref="T205:T206"/>
    <mergeCell ref="U205:U206"/>
    <mergeCell ref="F206:H206"/>
    <mergeCell ref="I206:K206"/>
    <mergeCell ref="U198:U200"/>
    <mergeCell ref="F199:H200"/>
    <mergeCell ref="I199:K200"/>
    <mergeCell ref="R199:R200"/>
    <mergeCell ref="A202:A204"/>
    <mergeCell ref="B202:B204"/>
    <mergeCell ref="C202:C204"/>
    <mergeCell ref="D202:D204"/>
    <mergeCell ref="E202:E204"/>
    <mergeCell ref="F202:H202"/>
    <mergeCell ref="I202:K202"/>
    <mergeCell ref="S202:S204"/>
    <mergeCell ref="T202:T204"/>
    <mergeCell ref="U202:U204"/>
    <mergeCell ref="A198:A200"/>
    <mergeCell ref="B198:B200"/>
    <mergeCell ref="C198:C200"/>
    <mergeCell ref="D198:D200"/>
    <mergeCell ref="E198:E200"/>
    <mergeCell ref="F198:H198"/>
    <mergeCell ref="I198:K198"/>
    <mergeCell ref="S198:S200"/>
    <mergeCell ref="T198:T200"/>
    <mergeCell ref="U192:U194"/>
    <mergeCell ref="F193:H194"/>
    <mergeCell ref="I193:K194"/>
    <mergeCell ref="R193:R194"/>
    <mergeCell ref="A195:A197"/>
    <mergeCell ref="B195:B197"/>
    <mergeCell ref="C195:C197"/>
    <mergeCell ref="D195:D197"/>
    <mergeCell ref="E195:E197"/>
    <mergeCell ref="F195:H195"/>
    <mergeCell ref="I195:K195"/>
    <mergeCell ref="S195:S197"/>
    <mergeCell ref="T195:T197"/>
    <mergeCell ref="U195:U197"/>
    <mergeCell ref="F196:H196"/>
    <mergeCell ref="I196:K196"/>
    <mergeCell ref="R196:R197"/>
    <mergeCell ref="F197:H197"/>
    <mergeCell ref="I197:K197"/>
    <mergeCell ref="A192:A194"/>
    <mergeCell ref="B192:B194"/>
    <mergeCell ref="C192:C194"/>
    <mergeCell ref="D192:D194"/>
    <mergeCell ref="E192:E194"/>
    <mergeCell ref="F192:H192"/>
    <mergeCell ref="I192:K192"/>
    <mergeCell ref="S192:S194"/>
    <mergeCell ref="T192:T194"/>
    <mergeCell ref="U185:U186"/>
    <mergeCell ref="F186:H186"/>
    <mergeCell ref="I186:K186"/>
    <mergeCell ref="A187:A191"/>
    <mergeCell ref="B187:B191"/>
    <mergeCell ref="C187:C191"/>
    <mergeCell ref="D187:D191"/>
    <mergeCell ref="E187:E191"/>
    <mergeCell ref="F187:H187"/>
    <mergeCell ref="I187:K187"/>
    <mergeCell ref="S187:S191"/>
    <mergeCell ref="T187:T191"/>
    <mergeCell ref="U187:U191"/>
    <mergeCell ref="F188:H191"/>
    <mergeCell ref="I188:K191"/>
    <mergeCell ref="R188:R191"/>
    <mergeCell ref="A185:A186"/>
    <mergeCell ref="B185:B186"/>
    <mergeCell ref="C185:C186"/>
    <mergeCell ref="D185:D186"/>
    <mergeCell ref="E185:E186"/>
    <mergeCell ref="F185:H185"/>
    <mergeCell ref="I185:K185"/>
    <mergeCell ref="S185:S186"/>
    <mergeCell ref="T185:T186"/>
    <mergeCell ref="U178:U179"/>
    <mergeCell ref="F179:H179"/>
    <mergeCell ref="I179:K179"/>
    <mergeCell ref="A180:F180"/>
    <mergeCell ref="A181:A184"/>
    <mergeCell ref="B181:B184"/>
    <mergeCell ref="C181:C184"/>
    <mergeCell ref="D181:D184"/>
    <mergeCell ref="E181:E184"/>
    <mergeCell ref="F181:H181"/>
    <mergeCell ref="I181:K181"/>
    <mergeCell ref="S181:S184"/>
    <mergeCell ref="T181:T184"/>
    <mergeCell ref="U181:U184"/>
    <mergeCell ref="F182:H184"/>
    <mergeCell ref="I182:K184"/>
    <mergeCell ref="R182:R184"/>
    <mergeCell ref="A178:A179"/>
    <mergeCell ref="B178:B179"/>
    <mergeCell ref="C178:C179"/>
    <mergeCell ref="D178:D179"/>
    <mergeCell ref="E178:E179"/>
    <mergeCell ref="F178:H178"/>
    <mergeCell ref="I178:K178"/>
    <mergeCell ref="S178:S179"/>
    <mergeCell ref="T178:T179"/>
    <mergeCell ref="F175:H175"/>
    <mergeCell ref="I175:K175"/>
    <mergeCell ref="A176:A177"/>
    <mergeCell ref="B176:B177"/>
    <mergeCell ref="C176:C177"/>
    <mergeCell ref="D176:D177"/>
    <mergeCell ref="E176:E177"/>
    <mergeCell ref="F176:H176"/>
    <mergeCell ref="I176:K176"/>
    <mergeCell ref="S176:S177"/>
    <mergeCell ref="T176:T177"/>
    <mergeCell ref="U176:U177"/>
    <mergeCell ref="F177:H177"/>
    <mergeCell ref="I177:K177"/>
    <mergeCell ref="U170:U173"/>
    <mergeCell ref="F171:H173"/>
    <mergeCell ref="I171:K173"/>
    <mergeCell ref="R171:R173"/>
    <mergeCell ref="A174:A175"/>
    <mergeCell ref="B174:B175"/>
    <mergeCell ref="C174:C175"/>
    <mergeCell ref="D174:D175"/>
    <mergeCell ref="E174:E175"/>
    <mergeCell ref="F174:H174"/>
    <mergeCell ref="I174:K174"/>
    <mergeCell ref="S174:S175"/>
    <mergeCell ref="T174:T175"/>
    <mergeCell ref="U174:U175"/>
    <mergeCell ref="A170:A173"/>
    <mergeCell ref="B170:B173"/>
    <mergeCell ref="C170:C173"/>
    <mergeCell ref="D170:D173"/>
    <mergeCell ref="E170:E173"/>
    <mergeCell ref="F170:H170"/>
    <mergeCell ref="I170:K170"/>
    <mergeCell ref="S170:S173"/>
    <mergeCell ref="T170:T173"/>
    <mergeCell ref="U164:U165"/>
    <mergeCell ref="F165:H165"/>
    <mergeCell ref="I165:K165"/>
    <mergeCell ref="A166:A169"/>
    <mergeCell ref="B166:B169"/>
    <mergeCell ref="C166:C169"/>
    <mergeCell ref="D166:D169"/>
    <mergeCell ref="E166:E169"/>
    <mergeCell ref="F166:H166"/>
    <mergeCell ref="I166:K166"/>
    <mergeCell ref="S166:S169"/>
    <mergeCell ref="T166:T169"/>
    <mergeCell ref="U166:U169"/>
    <mergeCell ref="F167:H169"/>
    <mergeCell ref="I167:K169"/>
    <mergeCell ref="R167:R169"/>
    <mergeCell ref="A164:A165"/>
    <mergeCell ref="B164:B165"/>
    <mergeCell ref="C164:C165"/>
    <mergeCell ref="D164:D165"/>
    <mergeCell ref="E164:E165"/>
    <mergeCell ref="F164:H164"/>
    <mergeCell ref="I164:K164"/>
    <mergeCell ref="S164:S165"/>
    <mergeCell ref="T164:T165"/>
    <mergeCell ref="U160:U161"/>
    <mergeCell ref="F161:H161"/>
    <mergeCell ref="I161:K161"/>
    <mergeCell ref="A162:A163"/>
    <mergeCell ref="B162:B163"/>
    <mergeCell ref="C162:C163"/>
    <mergeCell ref="D162:D163"/>
    <mergeCell ref="E162:E163"/>
    <mergeCell ref="F162:H162"/>
    <mergeCell ref="I162:K162"/>
    <mergeCell ref="S162:S163"/>
    <mergeCell ref="T162:T163"/>
    <mergeCell ref="U162:U163"/>
    <mergeCell ref="F163:H163"/>
    <mergeCell ref="I163:K163"/>
    <mergeCell ref="A160:A161"/>
    <mergeCell ref="B160:B161"/>
    <mergeCell ref="C160:C161"/>
    <mergeCell ref="D160:D161"/>
    <mergeCell ref="E160:E161"/>
    <mergeCell ref="F160:H160"/>
    <mergeCell ref="I160:K160"/>
    <mergeCell ref="S160:S161"/>
    <mergeCell ref="T160:T161"/>
    <mergeCell ref="U156:U157"/>
    <mergeCell ref="F157:H157"/>
    <mergeCell ref="I157:K157"/>
    <mergeCell ref="A158:A159"/>
    <mergeCell ref="B158:B159"/>
    <mergeCell ref="C158:C159"/>
    <mergeCell ref="D158:D159"/>
    <mergeCell ref="E158:E159"/>
    <mergeCell ref="F158:H158"/>
    <mergeCell ref="I158:K158"/>
    <mergeCell ref="S158:S159"/>
    <mergeCell ref="T158:T159"/>
    <mergeCell ref="U158:U159"/>
    <mergeCell ref="F159:H159"/>
    <mergeCell ref="I159:K159"/>
    <mergeCell ref="A156:A157"/>
    <mergeCell ref="B156:B157"/>
    <mergeCell ref="C156:C157"/>
    <mergeCell ref="D156:D157"/>
    <mergeCell ref="E156:E157"/>
    <mergeCell ref="F156:H156"/>
    <mergeCell ref="I156:K156"/>
    <mergeCell ref="S156:S157"/>
    <mergeCell ref="T156:T157"/>
    <mergeCell ref="U152:U153"/>
    <mergeCell ref="F153:H153"/>
    <mergeCell ref="I153:K153"/>
    <mergeCell ref="A154:A155"/>
    <mergeCell ref="B154:B155"/>
    <mergeCell ref="C154:C155"/>
    <mergeCell ref="D154:D155"/>
    <mergeCell ref="E154:E155"/>
    <mergeCell ref="F154:H154"/>
    <mergeCell ref="I154:K154"/>
    <mergeCell ref="S154:S155"/>
    <mergeCell ref="T154:T155"/>
    <mergeCell ref="U154:U155"/>
    <mergeCell ref="F155:H155"/>
    <mergeCell ref="I155:K155"/>
    <mergeCell ref="A152:A153"/>
    <mergeCell ref="B152:B153"/>
    <mergeCell ref="C152:C153"/>
    <mergeCell ref="D152:D153"/>
    <mergeCell ref="E152:E153"/>
    <mergeCell ref="F152:H152"/>
    <mergeCell ref="I152:K152"/>
    <mergeCell ref="S152:S153"/>
    <mergeCell ref="T152:T153"/>
    <mergeCell ref="U148:U149"/>
    <mergeCell ref="F149:H149"/>
    <mergeCell ref="I149:K149"/>
    <mergeCell ref="A150:A151"/>
    <mergeCell ref="B150:B151"/>
    <mergeCell ref="C150:C151"/>
    <mergeCell ref="D150:D151"/>
    <mergeCell ref="E150:E151"/>
    <mergeCell ref="F150:H150"/>
    <mergeCell ref="I150:K150"/>
    <mergeCell ref="S150:S151"/>
    <mergeCell ref="T150:T151"/>
    <mergeCell ref="U150:U151"/>
    <mergeCell ref="F151:H151"/>
    <mergeCell ref="I151:K151"/>
    <mergeCell ref="A148:A149"/>
    <mergeCell ref="B148:B149"/>
    <mergeCell ref="C148:C149"/>
    <mergeCell ref="D148:D149"/>
    <mergeCell ref="E148:E149"/>
    <mergeCell ref="F148:H148"/>
    <mergeCell ref="I148:K148"/>
    <mergeCell ref="S148:S149"/>
    <mergeCell ref="T148:T149"/>
    <mergeCell ref="T143:T144"/>
    <mergeCell ref="U143:U144"/>
    <mergeCell ref="F144:H144"/>
    <mergeCell ref="I144:K144"/>
    <mergeCell ref="A145:A146"/>
    <mergeCell ref="B145:B146"/>
    <mergeCell ref="C145:C146"/>
    <mergeCell ref="D145:D146"/>
    <mergeCell ref="E145:E146"/>
    <mergeCell ref="F145:H145"/>
    <mergeCell ref="I145:K145"/>
    <mergeCell ref="S145:S146"/>
    <mergeCell ref="T145:T146"/>
    <mergeCell ref="U145:U146"/>
    <mergeCell ref="F146:H146"/>
    <mergeCell ref="I146:K146"/>
    <mergeCell ref="A143:A144"/>
    <mergeCell ref="B143:B144"/>
    <mergeCell ref="C143:C144"/>
    <mergeCell ref="D143:D144"/>
    <mergeCell ref="E143:E144"/>
    <mergeCell ref="F143:H143"/>
    <mergeCell ref="I143:K143"/>
    <mergeCell ref="R143:R144"/>
    <mergeCell ref="S143:S144"/>
    <mergeCell ref="U139:U140"/>
    <mergeCell ref="F140:H140"/>
    <mergeCell ref="I140:K140"/>
    <mergeCell ref="A141:A142"/>
    <mergeCell ref="B141:B142"/>
    <mergeCell ref="C141:C142"/>
    <mergeCell ref="D141:D142"/>
    <mergeCell ref="E141:E142"/>
    <mergeCell ref="F141:H141"/>
    <mergeCell ref="I141:K141"/>
    <mergeCell ref="R141:R142"/>
    <mergeCell ref="S141:S142"/>
    <mergeCell ref="T141:T142"/>
    <mergeCell ref="U141:U142"/>
    <mergeCell ref="F142:H142"/>
    <mergeCell ref="I142:K142"/>
    <mergeCell ref="A139:A140"/>
    <mergeCell ref="B139:B140"/>
    <mergeCell ref="C139:C140"/>
    <mergeCell ref="D139:D140"/>
    <mergeCell ref="E139:E140"/>
    <mergeCell ref="F139:H139"/>
    <mergeCell ref="I139:K139"/>
    <mergeCell ref="S139:S140"/>
    <mergeCell ref="T139:T140"/>
    <mergeCell ref="T135:T136"/>
    <mergeCell ref="U135:U136"/>
    <mergeCell ref="F136:H136"/>
    <mergeCell ref="I136:K136"/>
    <mergeCell ref="A137:A138"/>
    <mergeCell ref="B137:B138"/>
    <mergeCell ref="C137:C138"/>
    <mergeCell ref="D137:D138"/>
    <mergeCell ref="E137:E138"/>
    <mergeCell ref="F137:H137"/>
    <mergeCell ref="I137:K137"/>
    <mergeCell ref="S137:S138"/>
    <mergeCell ref="T137:T138"/>
    <mergeCell ref="U137:U138"/>
    <mergeCell ref="F138:H138"/>
    <mergeCell ref="I138:K138"/>
    <mergeCell ref="A135:A136"/>
    <mergeCell ref="B135:B136"/>
    <mergeCell ref="C135:C136"/>
    <mergeCell ref="D135:D136"/>
    <mergeCell ref="E135:E136"/>
    <mergeCell ref="F135:H135"/>
    <mergeCell ref="I135:K135"/>
    <mergeCell ref="R135:R136"/>
    <mergeCell ref="S135:S136"/>
    <mergeCell ref="T131:T132"/>
    <mergeCell ref="U131:U132"/>
    <mergeCell ref="F132:H132"/>
    <mergeCell ref="I132:K132"/>
    <mergeCell ref="A133:A134"/>
    <mergeCell ref="B133:B134"/>
    <mergeCell ref="C133:C134"/>
    <mergeCell ref="D133:D134"/>
    <mergeCell ref="E133:E134"/>
    <mergeCell ref="F133:H133"/>
    <mergeCell ref="I133:K133"/>
    <mergeCell ref="R133:R134"/>
    <mergeCell ref="S133:S134"/>
    <mergeCell ref="T133:T134"/>
    <mergeCell ref="U133:U134"/>
    <mergeCell ref="F134:H134"/>
    <mergeCell ref="I134:K134"/>
    <mergeCell ref="A131:A132"/>
    <mergeCell ref="B131:B132"/>
    <mergeCell ref="C131:C132"/>
    <mergeCell ref="D131:D132"/>
    <mergeCell ref="E131:E132"/>
    <mergeCell ref="F131:H131"/>
    <mergeCell ref="I131:K131"/>
    <mergeCell ref="R131:R132"/>
    <mergeCell ref="S131:S132"/>
    <mergeCell ref="U124:U126"/>
    <mergeCell ref="F125:H125"/>
    <mergeCell ref="I125:K125"/>
    <mergeCell ref="R125:R126"/>
    <mergeCell ref="F126:H126"/>
    <mergeCell ref="I126:K126"/>
    <mergeCell ref="A127:A129"/>
    <mergeCell ref="B127:B129"/>
    <mergeCell ref="C127:C129"/>
    <mergeCell ref="D127:D129"/>
    <mergeCell ref="E127:E129"/>
    <mergeCell ref="F127:H127"/>
    <mergeCell ref="I127:K127"/>
    <mergeCell ref="S127:S129"/>
    <mergeCell ref="T127:T129"/>
    <mergeCell ref="U127:U129"/>
    <mergeCell ref="F128:H129"/>
    <mergeCell ref="I128:K129"/>
    <mergeCell ref="R128:R129"/>
    <mergeCell ref="A124:A126"/>
    <mergeCell ref="B124:B126"/>
    <mergeCell ref="C124:C126"/>
    <mergeCell ref="D124:D126"/>
    <mergeCell ref="E124:E126"/>
    <mergeCell ref="F124:H124"/>
    <mergeCell ref="I124:K124"/>
    <mergeCell ref="S124:S126"/>
    <mergeCell ref="T124:T126"/>
    <mergeCell ref="U118:U121"/>
    <mergeCell ref="F119:H121"/>
    <mergeCell ref="I119:K121"/>
    <mergeCell ref="R119:R121"/>
    <mergeCell ref="A122:A123"/>
    <mergeCell ref="B122:B123"/>
    <mergeCell ref="C122:C123"/>
    <mergeCell ref="D122:D123"/>
    <mergeCell ref="E122:E123"/>
    <mergeCell ref="F122:H122"/>
    <mergeCell ref="I122:K122"/>
    <mergeCell ref="S122:S123"/>
    <mergeCell ref="T122:T123"/>
    <mergeCell ref="U122:U123"/>
    <mergeCell ref="F123:H123"/>
    <mergeCell ref="I123:K123"/>
    <mergeCell ref="A118:A121"/>
    <mergeCell ref="B118:B121"/>
    <mergeCell ref="C118:C121"/>
    <mergeCell ref="D118:D121"/>
    <mergeCell ref="E118:E121"/>
    <mergeCell ref="F118:H118"/>
    <mergeCell ref="I118:K118"/>
    <mergeCell ref="S118:S121"/>
    <mergeCell ref="T118:T121"/>
    <mergeCell ref="U112:U114"/>
    <mergeCell ref="F113:H113"/>
    <mergeCell ref="I113:K113"/>
    <mergeCell ref="R113:R114"/>
    <mergeCell ref="F114:H114"/>
    <mergeCell ref="I114:K114"/>
    <mergeCell ref="A115:A117"/>
    <mergeCell ref="B115:B117"/>
    <mergeCell ref="C115:C117"/>
    <mergeCell ref="D115:D117"/>
    <mergeCell ref="E115:E117"/>
    <mergeCell ref="F115:H115"/>
    <mergeCell ref="I115:K115"/>
    <mergeCell ref="S115:S117"/>
    <mergeCell ref="T115:T117"/>
    <mergeCell ref="U115:U117"/>
    <mergeCell ref="F116:H117"/>
    <mergeCell ref="I116:K117"/>
    <mergeCell ref="R116:R117"/>
    <mergeCell ref="A112:A114"/>
    <mergeCell ref="B112:B114"/>
    <mergeCell ref="C112:C114"/>
    <mergeCell ref="D112:D114"/>
    <mergeCell ref="E112:E114"/>
    <mergeCell ref="F112:H112"/>
    <mergeCell ref="I112:K112"/>
    <mergeCell ref="S112:S114"/>
    <mergeCell ref="T112:T114"/>
    <mergeCell ref="U107:U108"/>
    <mergeCell ref="F108:H108"/>
    <mergeCell ref="I108:K108"/>
    <mergeCell ref="A109:A111"/>
    <mergeCell ref="B109:B111"/>
    <mergeCell ref="C109:C111"/>
    <mergeCell ref="D109:D111"/>
    <mergeCell ref="E109:E111"/>
    <mergeCell ref="F109:H109"/>
    <mergeCell ref="I109:K109"/>
    <mergeCell ref="S109:S111"/>
    <mergeCell ref="T109:T111"/>
    <mergeCell ref="U109:U111"/>
    <mergeCell ref="F110:H111"/>
    <mergeCell ref="I110:K111"/>
    <mergeCell ref="R110:R111"/>
    <mergeCell ref="A107:A108"/>
    <mergeCell ref="B107:B108"/>
    <mergeCell ref="C107:C108"/>
    <mergeCell ref="D107:D108"/>
    <mergeCell ref="E107:E108"/>
    <mergeCell ref="F107:H107"/>
    <mergeCell ref="I107:K107"/>
    <mergeCell ref="S107:S108"/>
    <mergeCell ref="T107:T108"/>
    <mergeCell ref="U103:U104"/>
    <mergeCell ref="F104:H104"/>
    <mergeCell ref="I104:K104"/>
    <mergeCell ref="A105:A106"/>
    <mergeCell ref="B105:B106"/>
    <mergeCell ref="C105:C106"/>
    <mergeCell ref="D105:D106"/>
    <mergeCell ref="E105:E106"/>
    <mergeCell ref="F105:H105"/>
    <mergeCell ref="I105:K105"/>
    <mergeCell ref="S105:S106"/>
    <mergeCell ref="T105:T106"/>
    <mergeCell ref="U105:U106"/>
    <mergeCell ref="F106:H106"/>
    <mergeCell ref="I106:K106"/>
    <mergeCell ref="A103:A104"/>
    <mergeCell ref="B103:B104"/>
    <mergeCell ref="C103:C104"/>
    <mergeCell ref="D103:D104"/>
    <mergeCell ref="E103:E104"/>
    <mergeCell ref="F103:H103"/>
    <mergeCell ref="I103:K103"/>
    <mergeCell ref="S103:S104"/>
    <mergeCell ref="T103:T104"/>
    <mergeCell ref="U98:U99"/>
    <mergeCell ref="F99:H99"/>
    <mergeCell ref="I99:K99"/>
    <mergeCell ref="A100:A101"/>
    <mergeCell ref="B100:B101"/>
    <mergeCell ref="C100:C101"/>
    <mergeCell ref="D100:D101"/>
    <mergeCell ref="E100:E101"/>
    <mergeCell ref="F100:H100"/>
    <mergeCell ref="I100:K100"/>
    <mergeCell ref="S100:S101"/>
    <mergeCell ref="T100:T101"/>
    <mergeCell ref="U100:U101"/>
    <mergeCell ref="F101:H101"/>
    <mergeCell ref="I101:K101"/>
    <mergeCell ref="A98:A99"/>
    <mergeCell ref="B98:B99"/>
    <mergeCell ref="C98:C99"/>
    <mergeCell ref="D98:D99"/>
    <mergeCell ref="E98:E99"/>
    <mergeCell ref="F98:H98"/>
    <mergeCell ref="I98:K98"/>
    <mergeCell ref="S98:S99"/>
    <mergeCell ref="T98:T99"/>
    <mergeCell ref="U93:U95"/>
    <mergeCell ref="F94:H95"/>
    <mergeCell ref="I94:K95"/>
    <mergeCell ref="R94:R95"/>
    <mergeCell ref="A96:A97"/>
    <mergeCell ref="B96:B97"/>
    <mergeCell ref="C96:C97"/>
    <mergeCell ref="D96:D97"/>
    <mergeCell ref="E96:E97"/>
    <mergeCell ref="F96:H96"/>
    <mergeCell ref="I96:K96"/>
    <mergeCell ref="S96:S97"/>
    <mergeCell ref="T96:T97"/>
    <mergeCell ref="U96:U97"/>
    <mergeCell ref="F97:H97"/>
    <mergeCell ref="I97:K97"/>
    <mergeCell ref="A93:A95"/>
    <mergeCell ref="B93:B95"/>
    <mergeCell ref="C93:C95"/>
    <mergeCell ref="D93:D95"/>
    <mergeCell ref="E93:E95"/>
    <mergeCell ref="F93:H93"/>
    <mergeCell ref="I93:K93"/>
    <mergeCell ref="S93:S95"/>
    <mergeCell ref="T93:T95"/>
    <mergeCell ref="U87:U89"/>
    <mergeCell ref="F88:H89"/>
    <mergeCell ref="I88:K89"/>
    <mergeCell ref="R88:R89"/>
    <mergeCell ref="A90:A92"/>
    <mergeCell ref="B90:B92"/>
    <mergeCell ref="C90:C92"/>
    <mergeCell ref="D90:D92"/>
    <mergeCell ref="E90:E92"/>
    <mergeCell ref="F90:H90"/>
    <mergeCell ref="I90:K90"/>
    <mergeCell ref="S90:S92"/>
    <mergeCell ref="T90:T92"/>
    <mergeCell ref="U90:U92"/>
    <mergeCell ref="F91:H92"/>
    <mergeCell ref="I91:K92"/>
    <mergeCell ref="R91:R92"/>
    <mergeCell ref="A87:A89"/>
    <mergeCell ref="B87:B89"/>
    <mergeCell ref="C87:C89"/>
    <mergeCell ref="D87:D89"/>
    <mergeCell ref="E87:E89"/>
    <mergeCell ref="F87:H87"/>
    <mergeCell ref="I87:K87"/>
    <mergeCell ref="S87:S89"/>
    <mergeCell ref="T87:T89"/>
    <mergeCell ref="U82:U83"/>
    <mergeCell ref="F83:H83"/>
    <mergeCell ref="I83:K83"/>
    <mergeCell ref="A84:A86"/>
    <mergeCell ref="B84:B86"/>
    <mergeCell ref="C84:C86"/>
    <mergeCell ref="D84:D86"/>
    <mergeCell ref="E84:E86"/>
    <mergeCell ref="F84:H84"/>
    <mergeCell ref="I84:K84"/>
    <mergeCell ref="S84:S86"/>
    <mergeCell ref="T84:T86"/>
    <mergeCell ref="U84:U86"/>
    <mergeCell ref="F85:H86"/>
    <mergeCell ref="I85:K86"/>
    <mergeCell ref="R85:R86"/>
    <mergeCell ref="A82:A83"/>
    <mergeCell ref="B82:B83"/>
    <mergeCell ref="C82:C83"/>
    <mergeCell ref="D82:D83"/>
    <mergeCell ref="E82:E83"/>
    <mergeCell ref="F82:H82"/>
    <mergeCell ref="I82:K82"/>
    <mergeCell ref="S82:S83"/>
    <mergeCell ref="T82:T83"/>
    <mergeCell ref="U74:U78"/>
    <mergeCell ref="F75:H78"/>
    <mergeCell ref="I75:K78"/>
    <mergeCell ref="R75:R78"/>
    <mergeCell ref="A79:A81"/>
    <mergeCell ref="B79:B81"/>
    <mergeCell ref="C79:C81"/>
    <mergeCell ref="D79:D81"/>
    <mergeCell ref="E79:E81"/>
    <mergeCell ref="F79:H79"/>
    <mergeCell ref="I79:K79"/>
    <mergeCell ref="S79:S81"/>
    <mergeCell ref="T79:T81"/>
    <mergeCell ref="U79:U81"/>
    <mergeCell ref="F80:H81"/>
    <mergeCell ref="I80:K81"/>
    <mergeCell ref="R80:R81"/>
    <mergeCell ref="A74:A78"/>
    <mergeCell ref="B74:B78"/>
    <mergeCell ref="C74:C78"/>
    <mergeCell ref="D74:D78"/>
    <mergeCell ref="E74:E78"/>
    <mergeCell ref="F74:H74"/>
    <mergeCell ref="I74:K74"/>
    <mergeCell ref="S74:S78"/>
    <mergeCell ref="T74:T78"/>
    <mergeCell ref="U70:U71"/>
    <mergeCell ref="F71:H71"/>
    <mergeCell ref="I71:K71"/>
    <mergeCell ref="A72:A73"/>
    <mergeCell ref="B72:B73"/>
    <mergeCell ref="C72:C73"/>
    <mergeCell ref="D72:D73"/>
    <mergeCell ref="E72:E73"/>
    <mergeCell ref="F72:H72"/>
    <mergeCell ref="I72:K72"/>
    <mergeCell ref="S72:S73"/>
    <mergeCell ref="T72:T73"/>
    <mergeCell ref="U72:U73"/>
    <mergeCell ref="F73:H73"/>
    <mergeCell ref="I73:K73"/>
    <mergeCell ref="A70:A71"/>
    <mergeCell ref="B70:B71"/>
    <mergeCell ref="C70:C71"/>
    <mergeCell ref="D70:D71"/>
    <mergeCell ref="E70:E71"/>
    <mergeCell ref="F70:H70"/>
    <mergeCell ref="I70:K70"/>
    <mergeCell ref="S70:S71"/>
    <mergeCell ref="T70:T71"/>
    <mergeCell ref="U64:U65"/>
    <mergeCell ref="F65:H65"/>
    <mergeCell ref="I65:K65"/>
    <mergeCell ref="A66:A69"/>
    <mergeCell ref="B66:B69"/>
    <mergeCell ref="C66:C69"/>
    <mergeCell ref="D66:D69"/>
    <mergeCell ref="E66:E69"/>
    <mergeCell ref="F66:H66"/>
    <mergeCell ref="I66:K66"/>
    <mergeCell ref="S66:S69"/>
    <mergeCell ref="T66:T69"/>
    <mergeCell ref="U66:U69"/>
    <mergeCell ref="F67:H69"/>
    <mergeCell ref="I67:K69"/>
    <mergeCell ref="R67:R69"/>
    <mergeCell ref="A64:A65"/>
    <mergeCell ref="B64:B65"/>
    <mergeCell ref="C64:C65"/>
    <mergeCell ref="D64:D65"/>
    <mergeCell ref="E64:E65"/>
    <mergeCell ref="F64:H64"/>
    <mergeCell ref="I64:K64"/>
    <mergeCell ref="S64:S65"/>
    <mergeCell ref="T64:T65"/>
    <mergeCell ref="U60:U61"/>
    <mergeCell ref="F61:H61"/>
    <mergeCell ref="I61:K61"/>
    <mergeCell ref="A62:A63"/>
    <mergeCell ref="B62:B63"/>
    <mergeCell ref="C62:C63"/>
    <mergeCell ref="D62:D63"/>
    <mergeCell ref="E62:E63"/>
    <mergeCell ref="F62:H62"/>
    <mergeCell ref="I62:K62"/>
    <mergeCell ref="S62:S63"/>
    <mergeCell ref="T62:T63"/>
    <mergeCell ref="U62:U63"/>
    <mergeCell ref="F63:H63"/>
    <mergeCell ref="I63:K63"/>
    <mergeCell ref="A60:A61"/>
    <mergeCell ref="B60:B61"/>
    <mergeCell ref="C60:C61"/>
    <mergeCell ref="D60:D61"/>
    <mergeCell ref="E60:E61"/>
    <mergeCell ref="F60:H60"/>
    <mergeCell ref="I60:K60"/>
    <mergeCell ref="S60:S61"/>
    <mergeCell ref="T60:T61"/>
    <mergeCell ref="U56:U57"/>
    <mergeCell ref="F57:H57"/>
    <mergeCell ref="I57:K57"/>
    <mergeCell ref="A58:A59"/>
    <mergeCell ref="B58:B59"/>
    <mergeCell ref="C58:C59"/>
    <mergeCell ref="D58:D59"/>
    <mergeCell ref="E58:E59"/>
    <mergeCell ref="F58:H58"/>
    <mergeCell ref="I58:K58"/>
    <mergeCell ref="S58:S59"/>
    <mergeCell ref="T58:T59"/>
    <mergeCell ref="U58:U59"/>
    <mergeCell ref="F59:H59"/>
    <mergeCell ref="I59:K59"/>
    <mergeCell ref="A56:A57"/>
    <mergeCell ref="B56:B57"/>
    <mergeCell ref="C56:C57"/>
    <mergeCell ref="D56:D57"/>
    <mergeCell ref="E56:E57"/>
    <mergeCell ref="F56:H56"/>
    <mergeCell ref="I56:K56"/>
    <mergeCell ref="S56:S57"/>
    <mergeCell ref="T56:T57"/>
    <mergeCell ref="U50:U51"/>
    <mergeCell ref="F51:H51"/>
    <mergeCell ref="I51:K51"/>
    <mergeCell ref="A52:A55"/>
    <mergeCell ref="B52:B55"/>
    <mergeCell ref="C52:C55"/>
    <mergeCell ref="D52:D55"/>
    <mergeCell ref="E52:E55"/>
    <mergeCell ref="F52:H52"/>
    <mergeCell ref="I52:K52"/>
    <mergeCell ref="S52:S55"/>
    <mergeCell ref="T52:T55"/>
    <mergeCell ref="U52:U55"/>
    <mergeCell ref="F53:H55"/>
    <mergeCell ref="I53:K55"/>
    <mergeCell ref="R53:R55"/>
    <mergeCell ref="A50:A51"/>
    <mergeCell ref="B50:B51"/>
    <mergeCell ref="C50:C51"/>
    <mergeCell ref="D50:D51"/>
    <mergeCell ref="E50:E51"/>
    <mergeCell ref="F50:H50"/>
    <mergeCell ref="I50:K50"/>
    <mergeCell ref="S50:S51"/>
    <mergeCell ref="T50:T51"/>
    <mergeCell ref="U46:U47"/>
    <mergeCell ref="F47:H47"/>
    <mergeCell ref="I47:K47"/>
    <mergeCell ref="A48:A49"/>
    <mergeCell ref="B48:B49"/>
    <mergeCell ref="C48:C49"/>
    <mergeCell ref="D48:D49"/>
    <mergeCell ref="E48:E49"/>
    <mergeCell ref="F48:H48"/>
    <mergeCell ref="I48:K48"/>
    <mergeCell ref="S48:S49"/>
    <mergeCell ref="T48:T49"/>
    <mergeCell ref="U48:U49"/>
    <mergeCell ref="F49:H49"/>
    <mergeCell ref="I49:K49"/>
    <mergeCell ref="A46:A47"/>
    <mergeCell ref="B46:B47"/>
    <mergeCell ref="C46:C47"/>
    <mergeCell ref="D46:D47"/>
    <mergeCell ref="E46:E47"/>
    <mergeCell ref="F46:H46"/>
    <mergeCell ref="I46:K46"/>
    <mergeCell ref="S46:S47"/>
    <mergeCell ref="T46:T47"/>
    <mergeCell ref="U38:U39"/>
    <mergeCell ref="F39:H39"/>
    <mergeCell ref="I39:K39"/>
    <mergeCell ref="A40:A45"/>
    <mergeCell ref="B40:B45"/>
    <mergeCell ref="C40:C45"/>
    <mergeCell ref="D40:D45"/>
    <mergeCell ref="E40:E45"/>
    <mergeCell ref="F40:H40"/>
    <mergeCell ref="I40:K40"/>
    <mergeCell ref="S40:S45"/>
    <mergeCell ref="T40:T45"/>
    <mergeCell ref="U40:U45"/>
    <mergeCell ref="F41:H45"/>
    <mergeCell ref="I41:K45"/>
    <mergeCell ref="R41:R45"/>
    <mergeCell ref="A38:A39"/>
    <mergeCell ref="B38:B39"/>
    <mergeCell ref="C38:C39"/>
    <mergeCell ref="D38:D39"/>
    <mergeCell ref="E38:E39"/>
    <mergeCell ref="F38:H38"/>
    <mergeCell ref="I38:K38"/>
    <mergeCell ref="S38:S39"/>
    <mergeCell ref="T38:T39"/>
    <mergeCell ref="U32:U35"/>
    <mergeCell ref="F33:H35"/>
    <mergeCell ref="I33:K35"/>
    <mergeCell ref="R33:R35"/>
    <mergeCell ref="A36:A37"/>
    <mergeCell ref="B36:B37"/>
    <mergeCell ref="C36:C37"/>
    <mergeCell ref="D36:D37"/>
    <mergeCell ref="E36:E37"/>
    <mergeCell ref="F36:H36"/>
    <mergeCell ref="I36:K36"/>
    <mergeCell ref="S36:S37"/>
    <mergeCell ref="T36:T37"/>
    <mergeCell ref="U36:U37"/>
    <mergeCell ref="F37:H37"/>
    <mergeCell ref="I37:K37"/>
    <mergeCell ref="A32:A35"/>
    <mergeCell ref="B32:B35"/>
    <mergeCell ref="C32:C35"/>
    <mergeCell ref="D32:D35"/>
    <mergeCell ref="E32:E35"/>
    <mergeCell ref="F32:H32"/>
    <mergeCell ref="I32:K32"/>
    <mergeCell ref="S32:S35"/>
    <mergeCell ref="T32:T35"/>
    <mergeCell ref="T27:T28"/>
    <mergeCell ref="U27:U28"/>
    <mergeCell ref="F28:H28"/>
    <mergeCell ref="I28:K28"/>
    <mergeCell ref="A30:A31"/>
    <mergeCell ref="B30:B31"/>
    <mergeCell ref="C30:C31"/>
    <mergeCell ref="D30:D31"/>
    <mergeCell ref="E30:E31"/>
    <mergeCell ref="F30:H30"/>
    <mergeCell ref="I30:K30"/>
    <mergeCell ref="S30:S31"/>
    <mergeCell ref="T30:T31"/>
    <mergeCell ref="U30:U31"/>
    <mergeCell ref="F31:H31"/>
    <mergeCell ref="I31:K31"/>
    <mergeCell ref="A27:A28"/>
    <mergeCell ref="B27:B28"/>
    <mergeCell ref="C27:C28"/>
    <mergeCell ref="D27:D28"/>
    <mergeCell ref="E27:E28"/>
    <mergeCell ref="F27:H27"/>
    <mergeCell ref="I27:K27"/>
    <mergeCell ref="R27:R28"/>
    <mergeCell ref="S27:S28"/>
    <mergeCell ref="S23:S24"/>
    <mergeCell ref="T23:T24"/>
    <mergeCell ref="U23:U24"/>
    <mergeCell ref="F24:H24"/>
    <mergeCell ref="I24:K24"/>
    <mergeCell ref="A25:A26"/>
    <mergeCell ref="B25:B26"/>
    <mergeCell ref="C25:C26"/>
    <mergeCell ref="D25:D26"/>
    <mergeCell ref="E25:E26"/>
    <mergeCell ref="F25:H25"/>
    <mergeCell ref="I25:K25"/>
    <mergeCell ref="R25:R26"/>
    <mergeCell ref="S25:S26"/>
    <mergeCell ref="T25:T26"/>
    <mergeCell ref="U25:U26"/>
    <mergeCell ref="F26:H26"/>
    <mergeCell ref="I26:K26"/>
    <mergeCell ref="R23:R24"/>
    <mergeCell ref="A1:X1"/>
    <mergeCell ref="P10:R10"/>
    <mergeCell ref="D11:F11"/>
    <mergeCell ref="N11:P11"/>
    <mergeCell ref="A13:C13"/>
    <mergeCell ref="E13:I13"/>
    <mergeCell ref="J13:L13"/>
    <mergeCell ref="M13:P13"/>
    <mergeCell ref="Q13:S13"/>
    <mergeCell ref="A2:C2"/>
    <mergeCell ref="E6:R6"/>
    <mergeCell ref="E7:R7"/>
    <mergeCell ref="A9:B9"/>
    <mergeCell ref="P9:R9"/>
    <mergeCell ref="A4:V4"/>
    <mergeCell ref="E10:G10"/>
    <mergeCell ref="I14:K14"/>
    <mergeCell ref="E15:E19"/>
    <mergeCell ref="F15:H19"/>
    <mergeCell ref="F20:H20"/>
    <mergeCell ref="I20:K20"/>
    <mergeCell ref="A15:A19"/>
    <mergeCell ref="B15:B19"/>
    <mergeCell ref="C293:V293"/>
    <mergeCell ref="C301:W301"/>
    <mergeCell ref="W15:W19"/>
    <mergeCell ref="X15:X19"/>
    <mergeCell ref="I15:K19"/>
    <mergeCell ref="S15:S19"/>
    <mergeCell ref="T15:T19"/>
    <mergeCell ref="U15:U19"/>
    <mergeCell ref="V15:V19"/>
    <mergeCell ref="C15:C19"/>
    <mergeCell ref="D15:D19"/>
    <mergeCell ref="N16:N19"/>
    <mergeCell ref="O16:O19"/>
    <mergeCell ref="L15:Q15"/>
    <mergeCell ref="R15:R19"/>
    <mergeCell ref="L16:L19"/>
    <mergeCell ref="M16:M19"/>
    <mergeCell ref="P16:P19"/>
    <mergeCell ref="Q16:Q19"/>
    <mergeCell ref="A23:A24"/>
    <mergeCell ref="B23:B24"/>
    <mergeCell ref="C23:C24"/>
    <mergeCell ref="D23:D24"/>
    <mergeCell ref="E23:E24"/>
    <mergeCell ref="F23:H23"/>
    <mergeCell ref="I23:K23"/>
  </mergeCells>
  <printOptions horizontalCentered="1"/>
  <pageMargins left="0" right="0" top="0.98425196850393704" bottom="0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X305"/>
  <sheetViews>
    <sheetView showZeros="0" view="pageBreakPreview" zoomScale="115" zoomScaleNormal="115" zoomScaleSheetLayoutView="115" workbookViewId="0">
      <selection activeCell="A21" sqref="A21:XFD21"/>
    </sheetView>
  </sheetViews>
  <sheetFormatPr defaultRowHeight="15"/>
  <cols>
    <col min="1" max="1" width="3.42578125" style="166" customWidth="1"/>
    <col min="2" max="2" width="7.5703125" style="166" hidden="1" customWidth="1"/>
    <col min="3" max="3" width="61.42578125" style="167" customWidth="1"/>
    <col min="4" max="4" width="5.85546875" style="158" customWidth="1"/>
    <col min="5" max="5" width="6.28515625" style="172" customWidth="1"/>
    <col min="6" max="7" width="2.140625" style="168" hidden="1" customWidth="1"/>
    <col min="8" max="8" width="2.28515625" style="168" hidden="1" customWidth="1"/>
    <col min="9" max="9" width="1.85546875" style="168" hidden="1" customWidth="1"/>
    <col min="10" max="10" width="2.140625" style="168" hidden="1" customWidth="1"/>
    <col min="11" max="11" width="2.42578125" style="168" hidden="1" customWidth="1"/>
    <col min="12" max="12" width="18" style="334" hidden="1" customWidth="1"/>
    <col min="13" max="13" width="4.28515625" style="158" hidden="1" customWidth="1"/>
    <col min="14" max="14" width="5.5703125" style="158" hidden="1" customWidth="1"/>
    <col min="15" max="15" width="6.85546875" style="172" hidden="1" customWidth="1"/>
    <col min="16" max="16" width="5.5703125" style="235" hidden="1" customWidth="1"/>
    <col min="17" max="17" width="5.28515625" style="169" hidden="1" customWidth="1"/>
    <col min="18" max="18" width="5.5703125" style="158" hidden="1" customWidth="1"/>
    <col min="19" max="19" width="5.42578125" style="158" hidden="1" customWidth="1"/>
    <col min="20" max="20" width="7.42578125" style="174" hidden="1" customWidth="1"/>
    <col min="21" max="21" width="7.28515625" style="170" hidden="1" customWidth="1"/>
    <col min="22" max="22" width="9.140625" style="158"/>
    <col min="23" max="23" width="11" style="158" bestFit="1" customWidth="1"/>
    <col min="24" max="24" width="7.140625" style="158" customWidth="1"/>
    <col min="25" max="25" width="10.5703125" style="158" customWidth="1"/>
    <col min="26" max="26" width="19.5703125" style="158" bestFit="1" customWidth="1"/>
    <col min="27" max="16384" width="9.140625" style="158"/>
  </cols>
  <sheetData>
    <row r="1" spans="1:25" s="116" customFormat="1" ht="47.25" customHeight="1">
      <c r="A1" s="1641" t="str">
        <f>+'1'!D1</f>
        <v>Վայոց Ձորի Եղեգիս համայնքի բնակավայրերի խմելու ջրի արտաքին ցանցի վերանորոգում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1"/>
      <c r="P1" s="1641"/>
      <c r="Q1" s="1641"/>
      <c r="R1" s="1641"/>
      <c r="S1" s="1641"/>
      <c r="T1" s="1641"/>
      <c r="U1" s="1641"/>
      <c r="V1" s="1641"/>
      <c r="W1" s="1641"/>
      <c r="X1" s="1641"/>
    </row>
    <row r="2" spans="1:25" s="116" customFormat="1" ht="3" customHeight="1">
      <c r="A2" s="1391"/>
      <c r="B2" s="1391"/>
      <c r="C2" s="1391"/>
      <c r="D2" s="554"/>
      <c r="E2" s="176"/>
      <c r="F2" s="118"/>
      <c r="G2" s="118"/>
      <c r="H2" s="118"/>
      <c r="I2" s="118"/>
      <c r="J2" s="118"/>
      <c r="K2" s="118"/>
      <c r="L2" s="332"/>
      <c r="M2" s="119"/>
      <c r="N2" s="120"/>
      <c r="O2" s="120"/>
      <c r="P2" s="140"/>
      <c r="Q2" s="121"/>
      <c r="R2" s="120"/>
      <c r="S2" s="120"/>
      <c r="T2" s="173"/>
      <c r="U2" s="114"/>
      <c r="V2" s="115"/>
      <c r="W2" s="115"/>
    </row>
    <row r="3" spans="1:25" s="116" customFormat="1" ht="12.75" hidden="1">
      <c r="A3" s="123"/>
      <c r="B3" s="123"/>
      <c r="C3" s="124"/>
      <c r="D3" s="120"/>
      <c r="E3" s="120"/>
      <c r="F3" s="350"/>
      <c r="G3" s="350"/>
      <c r="H3" s="350"/>
      <c r="I3" s="350"/>
      <c r="J3" s="350"/>
      <c r="K3" s="350"/>
      <c r="L3" s="333"/>
      <c r="M3" s="120"/>
      <c r="N3" s="120"/>
      <c r="O3" s="120"/>
      <c r="P3" s="140"/>
      <c r="Q3" s="121"/>
      <c r="R3" s="120"/>
      <c r="S3" s="120"/>
      <c r="T3" s="140"/>
      <c r="U3" s="125"/>
      <c r="V3" s="115"/>
      <c r="W3" s="115"/>
    </row>
    <row r="4" spans="1:25" s="131" customFormat="1" ht="15.75">
      <c r="A4" s="1517" t="s">
        <v>162</v>
      </c>
      <c r="B4" s="1518"/>
      <c r="C4" s="1518"/>
      <c r="D4" s="1518"/>
      <c r="E4" s="1518"/>
      <c r="F4" s="1518"/>
      <c r="G4" s="1518"/>
      <c r="H4" s="1518"/>
      <c r="I4" s="1518"/>
      <c r="J4" s="1518"/>
      <c r="K4" s="1518"/>
      <c r="L4" s="1518"/>
      <c r="M4" s="1518"/>
      <c r="N4" s="1518"/>
      <c r="O4" s="1518"/>
      <c r="P4" s="1518"/>
      <c r="Q4" s="1518"/>
      <c r="R4" s="1518"/>
      <c r="S4" s="1518"/>
      <c r="T4" s="1518"/>
      <c r="U4" s="1518"/>
      <c r="V4" s="1518"/>
      <c r="W4" s="175" t="str">
        <f>+'1'!C9</f>
        <v xml:space="preserve">№ </v>
      </c>
    </row>
    <row r="5" spans="1:25" s="137" customFormat="1" ht="2.25" customHeight="1">
      <c r="A5" s="133"/>
      <c r="B5" s="133"/>
      <c r="C5" s="124"/>
      <c r="D5" s="132"/>
      <c r="E5" s="132"/>
      <c r="F5" s="350"/>
      <c r="G5" s="350"/>
      <c r="H5" s="350"/>
      <c r="I5" s="350"/>
      <c r="J5" s="350"/>
      <c r="K5" s="350"/>
      <c r="L5" s="333"/>
      <c r="M5" s="132"/>
      <c r="N5" s="132"/>
      <c r="O5" s="132"/>
      <c r="P5" s="140"/>
      <c r="Q5" s="121"/>
      <c r="R5" s="132"/>
      <c r="S5" s="132"/>
      <c r="T5" s="140"/>
      <c r="U5" s="134"/>
      <c r="V5" s="135"/>
      <c r="W5" s="364"/>
      <c r="X5" s="132"/>
      <c r="Y5" s="132"/>
    </row>
    <row r="6" spans="1:25" s="137" customFormat="1" ht="13.5" hidden="1" customHeight="1">
      <c r="A6" s="133"/>
      <c r="B6" s="133"/>
      <c r="C6" s="124"/>
      <c r="D6" s="554"/>
      <c r="E6" s="1516" t="s">
        <v>176</v>
      </c>
      <c r="F6" s="1516"/>
      <c r="G6" s="1516"/>
      <c r="H6" s="1516"/>
      <c r="I6" s="1516"/>
      <c r="J6" s="1516"/>
      <c r="K6" s="1516"/>
      <c r="L6" s="1516"/>
      <c r="M6" s="1516"/>
      <c r="N6" s="1516"/>
      <c r="O6" s="1516"/>
      <c r="P6" s="1516"/>
      <c r="Q6" s="1516"/>
      <c r="R6" s="1516"/>
      <c r="S6" s="132"/>
      <c r="T6" s="140"/>
      <c r="U6" s="134"/>
      <c r="V6" s="135"/>
      <c r="W6" s="132"/>
      <c r="X6" s="365"/>
      <c r="Y6" s="132"/>
    </row>
    <row r="7" spans="1:25" s="137" customFormat="1" ht="12" hidden="1" customHeight="1">
      <c r="A7" s="133"/>
      <c r="B7" s="133"/>
      <c r="C7" s="124"/>
      <c r="D7" s="132"/>
      <c r="E7" s="1393"/>
      <c r="F7" s="1393"/>
      <c r="G7" s="1393"/>
      <c r="H7" s="1393"/>
      <c r="I7" s="1393"/>
      <c r="J7" s="1393"/>
      <c r="K7" s="1393"/>
      <c r="L7" s="1393"/>
      <c r="M7" s="1393"/>
      <c r="N7" s="1393"/>
      <c r="O7" s="1393"/>
      <c r="P7" s="1393"/>
      <c r="Q7" s="1393"/>
      <c r="R7" s="1393"/>
      <c r="S7" s="132"/>
      <c r="T7" s="140"/>
      <c r="U7" s="134"/>
      <c r="V7" s="135"/>
      <c r="W7" s="132"/>
      <c r="X7" s="132"/>
      <c r="Y7" s="132"/>
    </row>
    <row r="8" spans="1:25" s="137" customFormat="1" ht="0.75" hidden="1" customHeight="1">
      <c r="A8" s="133"/>
      <c r="B8" s="133"/>
      <c r="C8" s="124"/>
      <c r="D8" s="139"/>
      <c r="E8" s="140"/>
      <c r="F8" s="350"/>
      <c r="G8" s="350"/>
      <c r="H8" s="350"/>
      <c r="I8" s="350"/>
      <c r="J8" s="350"/>
      <c r="K8" s="350"/>
      <c r="L8" s="333"/>
      <c r="M8" s="132"/>
      <c r="N8" s="132"/>
      <c r="O8" s="132"/>
      <c r="P8" s="140"/>
      <c r="Q8" s="121"/>
      <c r="R8" s="141"/>
      <c r="S8" s="132"/>
      <c r="T8" s="140"/>
      <c r="U8" s="134"/>
      <c r="V8" s="135"/>
      <c r="W8" s="132"/>
      <c r="X8" s="132"/>
      <c r="Y8" s="132"/>
    </row>
    <row r="9" spans="1:25" s="137" customFormat="1" ht="12.75" hidden="1">
      <c r="A9" s="1394" t="s">
        <v>79</v>
      </c>
      <c r="B9" s="1394"/>
      <c r="C9" s="124" t="s">
        <v>174</v>
      </c>
      <c r="D9" s="132"/>
      <c r="E9" s="132"/>
      <c r="F9" s="350"/>
      <c r="G9" s="350"/>
      <c r="H9" s="350"/>
      <c r="I9" s="350"/>
      <c r="J9" s="350"/>
      <c r="K9" s="350"/>
      <c r="L9" s="333"/>
      <c r="M9" s="132"/>
      <c r="N9" s="132"/>
      <c r="O9" s="367" t="s">
        <v>80</v>
      </c>
      <c r="P9" s="1395" t="e">
        <f>+#REF!</f>
        <v>#REF!</v>
      </c>
      <c r="Q9" s="1395"/>
      <c r="R9" s="1395"/>
      <c r="S9" s="142" t="s">
        <v>25</v>
      </c>
      <c r="T9" s="140"/>
      <c r="U9" s="134"/>
      <c r="V9" s="135"/>
      <c r="W9" s="132"/>
      <c r="X9" s="132"/>
      <c r="Y9" s="132"/>
    </row>
    <row r="10" spans="1:25" s="137" customFormat="1" ht="4.5" hidden="1" customHeight="1">
      <c r="A10" s="143"/>
      <c r="B10" s="143"/>
      <c r="C10" s="144"/>
      <c r="D10" s="145"/>
      <c r="E10" s="1519"/>
      <c r="F10" s="1519"/>
      <c r="G10" s="1519"/>
      <c r="H10" s="350"/>
      <c r="I10" s="350"/>
      <c r="J10" s="350"/>
      <c r="K10" s="350"/>
      <c r="L10" s="333"/>
      <c r="M10" s="132"/>
      <c r="N10" s="132"/>
      <c r="O10" s="367"/>
      <c r="P10" s="1395"/>
      <c r="Q10" s="1395"/>
      <c r="R10" s="1395"/>
      <c r="S10" s="142"/>
      <c r="T10" s="350"/>
      <c r="U10" s="146"/>
      <c r="V10" s="135"/>
    </row>
    <row r="11" spans="1:25" s="137" customFormat="1" ht="12.75" hidden="1">
      <c r="A11" s="147" t="s">
        <v>81</v>
      </c>
      <c r="B11" s="147"/>
      <c r="C11" s="148"/>
      <c r="D11" s="1400">
        <f>+'1'!D11:F11</f>
        <v>252984</v>
      </c>
      <c r="E11" s="1400"/>
      <c r="F11" s="1400"/>
      <c r="G11" s="222"/>
      <c r="H11" s="149"/>
      <c r="I11" s="149" t="s">
        <v>82</v>
      </c>
      <c r="J11" s="222"/>
      <c r="K11" s="222"/>
      <c r="L11" s="352" t="s">
        <v>83</v>
      </c>
      <c r="M11" s="223" t="s">
        <v>84</v>
      </c>
      <c r="N11" s="1514">
        <f>+'1'!N11:P11</f>
        <v>1.1525031000000003</v>
      </c>
      <c r="O11" s="1514"/>
      <c r="P11" s="1514"/>
      <c r="Q11" s="149"/>
      <c r="R11" s="224"/>
      <c r="S11" s="225"/>
      <c r="T11" s="225"/>
      <c r="U11" s="150"/>
      <c r="V11" s="151"/>
    </row>
    <row r="12" spans="1:25" s="137" customFormat="1" ht="7.5" hidden="1" customHeight="1">
      <c r="A12" s="147"/>
      <c r="B12" s="147"/>
      <c r="C12" s="152"/>
      <c r="D12" s="226"/>
      <c r="E12" s="227"/>
      <c r="F12" s="228"/>
      <c r="G12" s="229"/>
      <c r="H12" s="230"/>
      <c r="I12" s="230"/>
      <c r="J12" s="229"/>
      <c r="K12" s="229"/>
      <c r="L12" s="352"/>
      <c r="M12" s="225"/>
      <c r="N12" s="231"/>
      <c r="O12" s="225"/>
      <c r="P12" s="353"/>
      <c r="Q12" s="149"/>
      <c r="R12" s="224"/>
      <c r="S12" s="225"/>
      <c r="T12" s="225"/>
      <c r="U12" s="150"/>
      <c r="V12" s="151"/>
    </row>
    <row r="13" spans="1:25" s="137" customFormat="1" ht="14.25" hidden="1" customHeight="1">
      <c r="A13" s="1402" t="s">
        <v>85</v>
      </c>
      <c r="B13" s="1403"/>
      <c r="C13" s="1403"/>
      <c r="D13" s="232"/>
      <c r="E13" s="1404" t="s">
        <v>86</v>
      </c>
      <c r="F13" s="1404"/>
      <c r="G13" s="1404"/>
      <c r="H13" s="1404"/>
      <c r="I13" s="1404"/>
      <c r="J13" s="1405">
        <f>+'1'!J13:L13</f>
        <v>2337</v>
      </c>
      <c r="K13" s="1405"/>
      <c r="L13" s="1405"/>
      <c r="M13" s="1515" t="s">
        <v>87</v>
      </c>
      <c r="N13" s="1515"/>
      <c r="O13" s="1515"/>
      <c r="P13" s="1515"/>
      <c r="Q13" s="1405">
        <f>+'1'!Q13:S13</f>
        <v>3222.81</v>
      </c>
      <c r="R13" s="1405"/>
      <c r="S13" s="1405"/>
      <c r="T13" s="354"/>
      <c r="U13" s="178"/>
      <c r="V13" s="151"/>
    </row>
    <row r="14" spans="1:25" s="116" customFormat="1" ht="2.25" customHeight="1" thickBot="1">
      <c r="A14" s="179"/>
      <c r="B14" s="179"/>
      <c r="C14" s="152"/>
      <c r="D14" s="120"/>
      <c r="E14" s="120"/>
      <c r="F14" s="350"/>
      <c r="G14" s="350"/>
      <c r="H14" s="350"/>
      <c r="I14" s="1409"/>
      <c r="J14" s="1409"/>
      <c r="K14" s="1409"/>
      <c r="L14" s="333"/>
      <c r="M14" s="120"/>
      <c r="N14" s="120"/>
      <c r="O14" s="120"/>
      <c r="P14" s="140"/>
      <c r="Q14" s="121"/>
      <c r="R14" s="180"/>
      <c r="S14" s="120"/>
      <c r="T14" s="149"/>
      <c r="U14" s="181">
        <f>+D11/35000*7.5</f>
        <v>54.210857142857144</v>
      </c>
      <c r="V14" s="269">
        <f>1.133*1.03*('ԱՄՓՈՓ  '!B37+1)*('ԱՄՓՈՓ  '!B41+1)*1.11</f>
        <v>1.3279371763350001</v>
      </c>
      <c r="W14" s="270"/>
      <c r="X14" s="358"/>
    </row>
    <row r="15" spans="1:25" s="153" customFormat="1" ht="18" customHeight="1" thickTop="1">
      <c r="A15" s="1642" t="s">
        <v>156</v>
      </c>
      <c r="B15" s="1626" t="s">
        <v>89</v>
      </c>
      <c r="C15" s="1645" t="s">
        <v>157</v>
      </c>
      <c r="D15" s="1648" t="s">
        <v>158</v>
      </c>
      <c r="E15" s="1648" t="s">
        <v>159</v>
      </c>
      <c r="F15" s="1651" t="s">
        <v>93</v>
      </c>
      <c r="G15" s="1652"/>
      <c r="H15" s="1653"/>
      <c r="I15" s="1651" t="s">
        <v>94</v>
      </c>
      <c r="J15" s="1652"/>
      <c r="K15" s="1653"/>
      <c r="L15" s="1629" t="s">
        <v>95</v>
      </c>
      <c r="M15" s="1630"/>
      <c r="N15" s="1630"/>
      <c r="O15" s="1630"/>
      <c r="P15" s="1630"/>
      <c r="Q15" s="1631"/>
      <c r="R15" s="1626" t="s">
        <v>96</v>
      </c>
      <c r="S15" s="1626" t="s">
        <v>97</v>
      </c>
      <c r="T15" s="1632" t="s">
        <v>98</v>
      </c>
      <c r="U15" s="1635" t="s">
        <v>99</v>
      </c>
      <c r="V15" s="1622" t="s">
        <v>160</v>
      </c>
      <c r="W15" s="1622" t="s">
        <v>160</v>
      </c>
      <c r="X15" s="1622" t="s">
        <v>177</v>
      </c>
    </row>
    <row r="16" spans="1:25" s="153" customFormat="1" ht="22.5" customHeight="1">
      <c r="A16" s="1643"/>
      <c r="B16" s="1627"/>
      <c r="C16" s="1646"/>
      <c r="D16" s="1649"/>
      <c r="E16" s="1649"/>
      <c r="F16" s="1654"/>
      <c r="G16" s="1655"/>
      <c r="H16" s="1656"/>
      <c r="I16" s="1654"/>
      <c r="J16" s="1655"/>
      <c r="K16" s="1656"/>
      <c r="L16" s="1623" t="s">
        <v>108</v>
      </c>
      <c r="M16" s="1626" t="s">
        <v>109</v>
      </c>
      <c r="N16" s="1626" t="s">
        <v>110</v>
      </c>
      <c r="O16" s="1626" t="s">
        <v>111</v>
      </c>
      <c r="P16" s="1626" t="s">
        <v>96</v>
      </c>
      <c r="Q16" s="1626" t="s">
        <v>112</v>
      </c>
      <c r="R16" s="1627"/>
      <c r="S16" s="1627"/>
      <c r="T16" s="1633"/>
      <c r="U16" s="1636"/>
      <c r="V16" s="1622"/>
      <c r="W16" s="1622"/>
      <c r="X16" s="1622"/>
    </row>
    <row r="17" spans="1:33" s="153" customFormat="1" ht="22.5" customHeight="1">
      <c r="A17" s="1643"/>
      <c r="B17" s="1627"/>
      <c r="C17" s="1646"/>
      <c r="D17" s="1649"/>
      <c r="E17" s="1649"/>
      <c r="F17" s="1654"/>
      <c r="G17" s="1655"/>
      <c r="H17" s="1656"/>
      <c r="I17" s="1654"/>
      <c r="J17" s="1655"/>
      <c r="K17" s="1656"/>
      <c r="L17" s="1624"/>
      <c r="M17" s="1627"/>
      <c r="N17" s="1627"/>
      <c r="O17" s="1627"/>
      <c r="P17" s="1627"/>
      <c r="Q17" s="1627"/>
      <c r="R17" s="1627"/>
      <c r="S17" s="1627"/>
      <c r="T17" s="1633"/>
      <c r="U17" s="1636"/>
      <c r="V17" s="1622"/>
      <c r="W17" s="1622"/>
      <c r="X17" s="1622"/>
    </row>
    <row r="18" spans="1:33" s="153" customFormat="1" ht="22.5" customHeight="1">
      <c r="A18" s="1643"/>
      <c r="B18" s="1627"/>
      <c r="C18" s="1646"/>
      <c r="D18" s="1649"/>
      <c r="E18" s="1649"/>
      <c r="F18" s="1654"/>
      <c r="G18" s="1655"/>
      <c r="H18" s="1656"/>
      <c r="I18" s="1654"/>
      <c r="J18" s="1655"/>
      <c r="K18" s="1656"/>
      <c r="L18" s="1624"/>
      <c r="M18" s="1627"/>
      <c r="N18" s="1627"/>
      <c r="O18" s="1627"/>
      <c r="P18" s="1627"/>
      <c r="Q18" s="1627"/>
      <c r="R18" s="1627"/>
      <c r="S18" s="1627"/>
      <c r="T18" s="1633"/>
      <c r="U18" s="1636"/>
      <c r="V18" s="1622"/>
      <c r="W18" s="1622"/>
      <c r="X18" s="1622"/>
    </row>
    <row r="19" spans="1:33" s="153" customFormat="1" ht="22.5" customHeight="1">
      <c r="A19" s="1644"/>
      <c r="B19" s="1628"/>
      <c r="C19" s="1647"/>
      <c r="D19" s="1650"/>
      <c r="E19" s="1650"/>
      <c r="F19" s="1657"/>
      <c r="G19" s="1658"/>
      <c r="H19" s="1659"/>
      <c r="I19" s="1657"/>
      <c r="J19" s="1658"/>
      <c r="K19" s="1659"/>
      <c r="L19" s="1625"/>
      <c r="M19" s="1628"/>
      <c r="N19" s="1628"/>
      <c r="O19" s="1628"/>
      <c r="P19" s="1628"/>
      <c r="Q19" s="1628"/>
      <c r="R19" s="1628"/>
      <c r="S19" s="1628"/>
      <c r="T19" s="1634"/>
      <c r="U19" s="1637"/>
      <c r="V19" s="1622"/>
      <c r="W19" s="1622"/>
      <c r="X19" s="1622"/>
    </row>
    <row r="20" spans="1:33" s="154" customFormat="1" ht="13.5" customHeight="1">
      <c r="A20" s="203">
        <v>1</v>
      </c>
      <c r="B20" s="369">
        <v>2</v>
      </c>
      <c r="C20" s="204">
        <v>2</v>
      </c>
      <c r="D20" s="556">
        <v>3</v>
      </c>
      <c r="E20" s="204">
        <v>4</v>
      </c>
      <c r="F20" s="1388">
        <v>6</v>
      </c>
      <c r="G20" s="1494"/>
      <c r="H20" s="1495"/>
      <c r="I20" s="1388">
        <v>7</v>
      </c>
      <c r="J20" s="1398"/>
      <c r="K20" s="1399"/>
      <c r="L20" s="205">
        <v>8</v>
      </c>
      <c r="M20" s="204">
        <v>9</v>
      </c>
      <c r="N20" s="204">
        <v>10</v>
      </c>
      <c r="O20" s="204">
        <v>11</v>
      </c>
      <c r="P20" s="204">
        <v>12</v>
      </c>
      <c r="Q20" s="204">
        <v>13</v>
      </c>
      <c r="R20" s="368">
        <v>14</v>
      </c>
      <c r="S20" s="204">
        <v>15</v>
      </c>
      <c r="T20" s="204">
        <v>16</v>
      </c>
      <c r="U20" s="206">
        <v>17</v>
      </c>
      <c r="V20" s="271" t="s">
        <v>133</v>
      </c>
      <c r="W20" s="272" t="s">
        <v>134</v>
      </c>
      <c r="X20" s="361">
        <v>7</v>
      </c>
    </row>
    <row r="21" spans="1:33" s="154" customFormat="1" ht="13.5" customHeight="1">
      <c r="A21" s="384"/>
      <c r="B21" s="556"/>
      <c r="C21" s="560" t="s">
        <v>282</v>
      </c>
      <c r="D21" s="556"/>
      <c r="E21" s="556"/>
      <c r="F21" s="556"/>
      <c r="G21" s="555"/>
      <c r="H21" s="555"/>
      <c r="I21" s="556"/>
      <c r="J21" s="556"/>
      <c r="K21" s="556"/>
      <c r="L21" s="385"/>
      <c r="M21" s="556"/>
      <c r="N21" s="556"/>
      <c r="O21" s="556"/>
      <c r="P21" s="556"/>
      <c r="Q21" s="556"/>
      <c r="R21" s="556"/>
      <c r="S21" s="556"/>
      <c r="T21" s="556"/>
      <c r="U21" s="386"/>
      <c r="V21" s="273">
        <f t="shared" ref="V21:V219" si="0">+$V$14*S21</f>
        <v>0</v>
      </c>
      <c r="W21" s="274">
        <f t="shared" ref="W21:W219" si="1">+V21*E21</f>
        <v>0</v>
      </c>
      <c r="X21" s="419"/>
      <c r="Y21" s="196"/>
      <c r="Z21" s="196"/>
      <c r="AA21" s="196"/>
      <c r="AB21" s="196"/>
      <c r="AC21" s="196"/>
      <c r="AD21" s="196"/>
      <c r="AE21" s="196"/>
      <c r="AF21" s="155"/>
      <c r="AG21" s="155"/>
    </row>
    <row r="22" spans="1:33" s="480" customFormat="1" ht="12.75" customHeight="1">
      <c r="A22" s="1096">
        <v>1</v>
      </c>
      <c r="B22" s="1302" t="s">
        <v>240</v>
      </c>
      <c r="C22" s="1093" t="s">
        <v>284</v>
      </c>
      <c r="D22" s="1050" t="s">
        <v>201</v>
      </c>
      <c r="E22" s="1103">
        <v>12</v>
      </c>
      <c r="F22" s="1581">
        <f>0.001*8.13</f>
        <v>8.1300000000000018E-3</v>
      </c>
      <c r="G22" s="1581"/>
      <c r="H22" s="1581"/>
      <c r="I22" s="1581">
        <f>0.001*172.87</f>
        <v>0.17287</v>
      </c>
      <c r="J22" s="1581"/>
      <c r="K22" s="1581"/>
      <c r="L22" s="393"/>
      <c r="M22" s="394"/>
      <c r="N22" s="395"/>
      <c r="O22" s="395"/>
      <c r="P22" s="396"/>
      <c r="Q22" s="397"/>
      <c r="R22" s="1104">
        <f>F23+I23</f>
        <v>0.57612697469999996</v>
      </c>
      <c r="S22" s="1104">
        <f>R22+R23</f>
        <v>0.57612697469999996</v>
      </c>
      <c r="T22" s="1104">
        <f>E22*S22</f>
        <v>6.9135236963999995</v>
      </c>
      <c r="U22" s="1185"/>
      <c r="V22" s="273">
        <f t="shared" si="0"/>
        <v>0.76506042799354401</v>
      </c>
      <c r="W22" s="274">
        <f t="shared" si="1"/>
        <v>9.180725135922529</v>
      </c>
      <c r="X22" s="419"/>
    </row>
    <row r="23" spans="1:33" s="480" customFormat="1" ht="12.75" customHeight="1">
      <c r="A23" s="1107"/>
      <c r="B23" s="1098"/>
      <c r="C23" s="1094"/>
      <c r="D23" s="1051"/>
      <c r="E23" s="1102"/>
      <c r="F23" s="1052">
        <f>F22*$J$13/1000</f>
        <v>1.8999810000000002E-2</v>
      </c>
      <c r="G23" s="1052"/>
      <c r="H23" s="1052"/>
      <c r="I23" s="1052">
        <f>I22*$Q$13/1000</f>
        <v>0.55712716470000001</v>
      </c>
      <c r="J23" s="1052"/>
      <c r="K23" s="1052"/>
      <c r="L23" s="390"/>
      <c r="M23" s="401"/>
      <c r="N23" s="402"/>
      <c r="O23" s="402"/>
      <c r="P23" s="391"/>
      <c r="Q23" s="403"/>
      <c r="R23" s="1045"/>
      <c r="S23" s="1045"/>
      <c r="T23" s="1045"/>
      <c r="U23" s="1106"/>
      <c r="V23" s="273">
        <f t="shared" si="0"/>
        <v>0</v>
      </c>
      <c r="W23" s="274">
        <f t="shared" si="1"/>
        <v>0</v>
      </c>
      <c r="X23" s="419"/>
    </row>
    <row r="24" spans="1:33" s="481" customFormat="1" ht="12.75" customHeight="1">
      <c r="A24" s="1095">
        <v>2</v>
      </c>
      <c r="B24" s="1097" t="s">
        <v>241</v>
      </c>
      <c r="C24" s="1093" t="s">
        <v>285</v>
      </c>
      <c r="D24" s="1050" t="s">
        <v>201</v>
      </c>
      <c r="E24" s="1101">
        <v>10</v>
      </c>
      <c r="F24" s="1052">
        <f>0.001*14.3</f>
        <v>1.43E-2</v>
      </c>
      <c r="G24" s="1052"/>
      <c r="H24" s="1052"/>
      <c r="I24" s="1052">
        <f>0.001*302.7</f>
        <v>0.30269999999999997</v>
      </c>
      <c r="J24" s="1052"/>
      <c r="K24" s="1052"/>
      <c r="L24" s="387"/>
      <c r="M24" s="508"/>
      <c r="N24" s="508"/>
      <c r="O24" s="508"/>
      <c r="P24" s="388"/>
      <c r="Q24" s="389"/>
      <c r="R24" s="1044">
        <f>F25+I25</f>
        <v>1.0089636869999998</v>
      </c>
      <c r="S24" s="1044">
        <f>R24+R25</f>
        <v>1.0089636869999998</v>
      </c>
      <c r="T24" s="1044">
        <f>E24*S24</f>
        <v>10.089636869999998</v>
      </c>
      <c r="U24" s="1105"/>
      <c r="V24" s="273">
        <f t="shared" si="0"/>
        <v>1.3398403895393307</v>
      </c>
      <c r="W24" s="274">
        <f t="shared" si="1"/>
        <v>13.398403895393308</v>
      </c>
      <c r="X24" s="419"/>
    </row>
    <row r="25" spans="1:33" s="481" customFormat="1" ht="12.75" customHeight="1">
      <c r="A25" s="1107"/>
      <c r="B25" s="1098"/>
      <c r="C25" s="1094"/>
      <c r="D25" s="1051"/>
      <c r="E25" s="1103"/>
      <c r="F25" s="1052">
        <f>F24*$J$13/1000</f>
        <v>3.34191E-2</v>
      </c>
      <c r="G25" s="1052"/>
      <c r="H25" s="1052"/>
      <c r="I25" s="1052">
        <f>I24*$Q$13/1000</f>
        <v>0.97554458699999991</v>
      </c>
      <c r="J25" s="1052"/>
      <c r="K25" s="1052"/>
      <c r="L25" s="390"/>
      <c r="M25" s="509"/>
      <c r="N25" s="509"/>
      <c r="O25" s="509"/>
      <c r="P25" s="391"/>
      <c r="Q25" s="392"/>
      <c r="R25" s="1104"/>
      <c r="S25" s="1045"/>
      <c r="T25" s="1045"/>
      <c r="U25" s="1106"/>
      <c r="V25" s="273">
        <f t="shared" si="0"/>
        <v>0</v>
      </c>
      <c r="W25" s="274">
        <f t="shared" si="1"/>
        <v>0</v>
      </c>
      <c r="X25" s="419"/>
    </row>
    <row r="26" spans="1:33" s="482" customFormat="1" ht="12.75" customHeight="1">
      <c r="A26" s="1095">
        <f>+A24+1</f>
        <v>3</v>
      </c>
      <c r="B26" s="1097" t="s">
        <v>242</v>
      </c>
      <c r="C26" s="1093" t="s">
        <v>283</v>
      </c>
      <c r="D26" s="1533" t="s">
        <v>201</v>
      </c>
      <c r="E26" s="1101">
        <v>1.4</v>
      </c>
      <c r="F26" s="1052">
        <f>0.01*110</f>
        <v>1.1000000000000001</v>
      </c>
      <c r="G26" s="1052"/>
      <c r="H26" s="1052"/>
      <c r="I26" s="1426"/>
      <c r="J26" s="1426"/>
      <c r="K26" s="1426"/>
      <c r="L26" s="387"/>
      <c r="M26" s="505"/>
      <c r="N26" s="506"/>
      <c r="O26" s="506"/>
      <c r="P26" s="388"/>
      <c r="Q26" s="507"/>
      <c r="R26" s="1044">
        <f>F27+I27</f>
        <v>2.5707000000000004</v>
      </c>
      <c r="S26" s="1044">
        <f>R26+R27</f>
        <v>2.5707000000000004</v>
      </c>
      <c r="T26" s="1044">
        <f>E26*S26</f>
        <v>3.5989800000000005</v>
      </c>
      <c r="U26" s="1105"/>
      <c r="V26" s="273">
        <f t="shared" si="0"/>
        <v>3.4137280992043855</v>
      </c>
      <c r="W26" s="274">
        <f t="shared" si="1"/>
        <v>4.779219338886139</v>
      </c>
      <c r="X26" s="419"/>
    </row>
    <row r="27" spans="1:33" s="482" customFormat="1" ht="14.25" customHeight="1">
      <c r="A27" s="1107"/>
      <c r="B27" s="1098"/>
      <c r="C27" s="1094"/>
      <c r="D27" s="1534"/>
      <c r="E27" s="1102"/>
      <c r="F27" s="1052">
        <f>F26*$J$13/1000</f>
        <v>2.5707000000000004</v>
      </c>
      <c r="G27" s="1052"/>
      <c r="H27" s="1052"/>
      <c r="I27" s="1426"/>
      <c r="J27" s="1426"/>
      <c r="K27" s="1426"/>
      <c r="L27" s="390"/>
      <c r="M27" s="401"/>
      <c r="N27" s="402"/>
      <c r="O27" s="402"/>
      <c r="P27" s="391"/>
      <c r="Q27" s="403"/>
      <c r="R27" s="1045"/>
      <c r="S27" s="1045"/>
      <c r="T27" s="1045"/>
      <c r="U27" s="1185"/>
      <c r="V27" s="273">
        <f t="shared" si="0"/>
        <v>0</v>
      </c>
      <c r="W27" s="274">
        <f t="shared" si="1"/>
        <v>0</v>
      </c>
      <c r="X27" s="419"/>
    </row>
    <row r="28" spans="1:33" s="483" customFormat="1" ht="12.75" customHeight="1">
      <c r="A28" s="1095">
        <f t="shared" ref="A28:A32" si="2">+A26+1</f>
        <v>4</v>
      </c>
      <c r="B28" s="1097" t="s">
        <v>243</v>
      </c>
      <c r="C28" s="1093" t="s">
        <v>286</v>
      </c>
      <c r="D28" s="1533" t="s">
        <v>201</v>
      </c>
      <c r="E28" s="1178">
        <v>1</v>
      </c>
      <c r="F28" s="1052">
        <f>0.01*474</f>
        <v>4.74</v>
      </c>
      <c r="G28" s="1052"/>
      <c r="H28" s="1052"/>
      <c r="I28" s="1184">
        <v>0</v>
      </c>
      <c r="J28" s="1184"/>
      <c r="K28" s="1184"/>
      <c r="L28" s="387"/>
      <c r="M28" s="508"/>
      <c r="N28" s="508"/>
      <c r="O28" s="508"/>
      <c r="P28" s="388"/>
      <c r="Q28" s="389"/>
      <c r="R28" s="1044">
        <f>F29+I29</f>
        <v>11.077380000000002</v>
      </c>
      <c r="S28" s="1044">
        <f>R28+R29</f>
        <v>11.077380000000002</v>
      </c>
      <c r="T28" s="1044">
        <f>E28*S28</f>
        <v>11.077380000000002</v>
      </c>
      <c r="U28" s="1105"/>
      <c r="V28" s="273">
        <f t="shared" si="0"/>
        <v>14.710064718389805</v>
      </c>
      <c r="W28" s="274">
        <f t="shared" si="1"/>
        <v>14.710064718389805</v>
      </c>
      <c r="X28" s="419"/>
    </row>
    <row r="29" spans="1:33" s="483" customFormat="1" ht="12.75" customHeight="1">
      <c r="A29" s="1107"/>
      <c r="B29" s="1098"/>
      <c r="C29" s="1094"/>
      <c r="D29" s="1534"/>
      <c r="E29" s="1580"/>
      <c r="F29" s="1052">
        <f>F28*$J$13/1000</f>
        <v>11.077380000000002</v>
      </c>
      <c r="G29" s="1052"/>
      <c r="H29" s="1052"/>
      <c r="I29" s="1184">
        <f>I28*$Q$13/1000</f>
        <v>0</v>
      </c>
      <c r="J29" s="1184"/>
      <c r="K29" s="1184"/>
      <c r="L29" s="390"/>
      <c r="M29" s="509"/>
      <c r="N29" s="509"/>
      <c r="O29" s="509"/>
      <c r="P29" s="391"/>
      <c r="Q29" s="392"/>
      <c r="R29" s="1045"/>
      <c r="S29" s="1045"/>
      <c r="T29" s="1045"/>
      <c r="U29" s="1106"/>
      <c r="V29" s="273">
        <f t="shared" si="0"/>
        <v>0</v>
      </c>
      <c r="W29" s="274">
        <f t="shared" si="1"/>
        <v>0</v>
      </c>
      <c r="X29" s="419"/>
    </row>
    <row r="30" spans="1:33" s="484" customFormat="1" ht="12.75" customHeight="1">
      <c r="A30" s="1095">
        <f t="shared" si="2"/>
        <v>5</v>
      </c>
      <c r="B30" s="1097" t="s">
        <v>181</v>
      </c>
      <c r="C30" s="1108" t="s">
        <v>267</v>
      </c>
      <c r="D30" s="1101" t="s">
        <v>180</v>
      </c>
      <c r="E30" s="1101">
        <v>4</v>
      </c>
      <c r="F30" s="1318">
        <f>0.01*56.2</f>
        <v>0.56200000000000006</v>
      </c>
      <c r="G30" s="1319"/>
      <c r="H30" s="1320"/>
      <c r="I30" s="1638"/>
      <c r="J30" s="1639"/>
      <c r="K30" s="1640"/>
      <c r="L30" s="393"/>
      <c r="M30" s="394"/>
      <c r="N30" s="395"/>
      <c r="O30" s="395"/>
      <c r="P30" s="396"/>
      <c r="Q30" s="397"/>
      <c r="R30" s="1044">
        <f>F31+I31</f>
        <v>1.3133940000000002</v>
      </c>
      <c r="S30" s="1044">
        <f>R30+R31</f>
        <v>1.3133940000000002</v>
      </c>
      <c r="T30" s="1044">
        <f>E30*S30</f>
        <v>5.2535760000000007</v>
      </c>
      <c r="U30" s="552"/>
      <c r="V30" s="273">
        <f t="shared" si="0"/>
        <v>1.7441047197753312</v>
      </c>
      <c r="W30" s="274">
        <f t="shared" si="1"/>
        <v>6.9764188791013249</v>
      </c>
      <c r="X30" s="419"/>
    </row>
    <row r="31" spans="1:33" s="484" customFormat="1" ht="12.75" customHeight="1">
      <c r="A31" s="1107"/>
      <c r="B31" s="1098"/>
      <c r="C31" s="1109"/>
      <c r="D31" s="1102"/>
      <c r="E31" s="1102"/>
      <c r="F31" s="1318">
        <f>F30*$J$13/1000</f>
        <v>1.3133940000000002</v>
      </c>
      <c r="G31" s="1319"/>
      <c r="H31" s="1320"/>
      <c r="I31" s="1323">
        <f>J30*$Q$13/1000</f>
        <v>0</v>
      </c>
      <c r="J31" s="1324"/>
      <c r="K31" s="1325"/>
      <c r="L31" s="390"/>
      <c r="M31" s="401"/>
      <c r="N31" s="402"/>
      <c r="O31" s="402"/>
      <c r="P31" s="391"/>
      <c r="Q31" s="403"/>
      <c r="R31" s="1045"/>
      <c r="S31" s="1045"/>
      <c r="T31" s="1045"/>
      <c r="U31" s="553"/>
      <c r="V31" s="273">
        <f t="shared" si="0"/>
        <v>0</v>
      </c>
      <c r="W31" s="274">
        <f t="shared" si="1"/>
        <v>0</v>
      </c>
      <c r="X31" s="419"/>
    </row>
    <row r="32" spans="1:33" s="480" customFormat="1" ht="12.75" customHeight="1">
      <c r="A32" s="1095">
        <f t="shared" si="2"/>
        <v>6</v>
      </c>
      <c r="B32" s="1097" t="s">
        <v>240</v>
      </c>
      <c r="C32" s="1093" t="s">
        <v>287</v>
      </c>
      <c r="D32" s="1619" t="s">
        <v>201</v>
      </c>
      <c r="E32" s="1101">
        <v>20</v>
      </c>
      <c r="F32" s="1052">
        <f>0.001*8.13</f>
        <v>8.1300000000000018E-3</v>
      </c>
      <c r="G32" s="1052"/>
      <c r="H32" s="1052"/>
      <c r="I32" s="1052">
        <f>0.001*172.87</f>
        <v>0.17287</v>
      </c>
      <c r="J32" s="1052"/>
      <c r="K32" s="1052"/>
      <c r="L32" s="387"/>
      <c r="M32" s="505"/>
      <c r="N32" s="506"/>
      <c r="O32" s="506"/>
      <c r="P32" s="388"/>
      <c r="Q32" s="507"/>
      <c r="R32" s="1044">
        <f>F33+I33</f>
        <v>0.57612697469999996</v>
      </c>
      <c r="S32" s="1044">
        <f>R32+R33</f>
        <v>0.57612697469999996</v>
      </c>
      <c r="T32" s="1044">
        <f>E32*S32</f>
        <v>11.522539494</v>
      </c>
      <c r="U32" s="1105"/>
      <c r="V32" s="273">
        <f t="shared" si="0"/>
        <v>0.76506042799354401</v>
      </c>
      <c r="W32" s="274">
        <f t="shared" si="1"/>
        <v>15.301208559870879</v>
      </c>
      <c r="X32" s="419"/>
    </row>
    <row r="33" spans="1:49" s="480" customFormat="1" ht="12.75" customHeight="1">
      <c r="A33" s="1107"/>
      <c r="B33" s="1098"/>
      <c r="C33" s="1094"/>
      <c r="D33" s="1620"/>
      <c r="E33" s="1102"/>
      <c r="F33" s="1052">
        <f>F32*$J$13/1000</f>
        <v>1.8999810000000002E-2</v>
      </c>
      <c r="G33" s="1052"/>
      <c r="H33" s="1052"/>
      <c r="I33" s="1052">
        <f>I32*$Q$13/1000</f>
        <v>0.55712716470000001</v>
      </c>
      <c r="J33" s="1052"/>
      <c r="K33" s="1052"/>
      <c r="L33" s="390"/>
      <c r="M33" s="401"/>
      <c r="N33" s="402"/>
      <c r="O33" s="402"/>
      <c r="P33" s="391"/>
      <c r="Q33" s="403"/>
      <c r="R33" s="1045"/>
      <c r="S33" s="1045"/>
      <c r="T33" s="1045"/>
      <c r="U33" s="1106"/>
      <c r="V33" s="273">
        <f t="shared" si="0"/>
        <v>0</v>
      </c>
      <c r="W33" s="274">
        <f t="shared" si="1"/>
        <v>0</v>
      </c>
      <c r="X33" s="419"/>
    </row>
    <row r="34" spans="1:49" s="420" customFormat="1">
      <c r="A34" s="1095">
        <f>+A32+1</f>
        <v>7</v>
      </c>
      <c r="B34" s="1097" t="s">
        <v>233</v>
      </c>
      <c r="C34" s="1602" t="s">
        <v>290</v>
      </c>
      <c r="D34" s="1618" t="s">
        <v>289</v>
      </c>
      <c r="E34" s="1101">
        <f>+E36*1.6</f>
        <v>14.56</v>
      </c>
      <c r="F34" s="1605"/>
      <c r="G34" s="1606"/>
      <c r="H34" s="1607"/>
      <c r="I34" s="1318">
        <v>0.75</v>
      </c>
      <c r="J34" s="1319"/>
      <c r="K34" s="1320"/>
      <c r="L34" s="393"/>
      <c r="M34" s="394"/>
      <c r="N34" s="395"/>
      <c r="O34" s="395"/>
      <c r="P34" s="388"/>
      <c r="Q34" s="478"/>
      <c r="R34" s="1044">
        <f>+F35+I35</f>
        <v>2.4171075000000002</v>
      </c>
      <c r="S34" s="1044">
        <f>R34+R35</f>
        <v>2.4171075000000002</v>
      </c>
      <c r="T34" s="1044">
        <f>E34:E35*S34</f>
        <v>35.193085200000006</v>
      </c>
      <c r="U34" s="1046"/>
      <c r="V34" s="273">
        <f t="shared" si="0"/>
        <v>3.2097669084481515</v>
      </c>
      <c r="W34" s="274">
        <f t="shared" si="1"/>
        <v>46.734206187005086</v>
      </c>
      <c r="X34" s="419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</row>
    <row r="35" spans="1:49" s="420" customFormat="1">
      <c r="A35" s="1107"/>
      <c r="B35" s="1098"/>
      <c r="C35" s="1603"/>
      <c r="D35" s="1311"/>
      <c r="E35" s="1102"/>
      <c r="F35" s="1599"/>
      <c r="G35" s="1600"/>
      <c r="H35" s="1601"/>
      <c r="I35" s="1052">
        <f>I34*$Q$13/1000</f>
        <v>2.4171075000000002</v>
      </c>
      <c r="J35" s="1052"/>
      <c r="K35" s="1052"/>
      <c r="L35" s="390"/>
      <c r="M35" s="401"/>
      <c r="N35" s="402"/>
      <c r="O35" s="402"/>
      <c r="P35" s="391"/>
      <c r="Q35" s="479"/>
      <c r="R35" s="1045"/>
      <c r="S35" s="1045"/>
      <c r="T35" s="1045"/>
      <c r="U35" s="1047"/>
      <c r="V35" s="273">
        <f t="shared" si="0"/>
        <v>0</v>
      </c>
      <c r="W35" s="274">
        <f t="shared" si="1"/>
        <v>0</v>
      </c>
      <c r="X35" s="419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85"/>
      <c r="AK35" s="485"/>
      <c r="AL35" s="485"/>
      <c r="AM35" s="486"/>
      <c r="AN35" s="486"/>
      <c r="AO35" s="486"/>
      <c r="AP35" s="486"/>
      <c r="AQ35" s="486"/>
      <c r="AR35" s="486"/>
      <c r="AS35" s="486"/>
      <c r="AT35" s="486"/>
      <c r="AU35" s="486"/>
      <c r="AV35" s="486"/>
      <c r="AW35" s="486"/>
    </row>
    <row r="36" spans="1:49" s="489" customFormat="1" ht="15" customHeight="1">
      <c r="A36" s="1095">
        <f>+A34+1</f>
        <v>8</v>
      </c>
      <c r="B36" s="1097" t="s">
        <v>230</v>
      </c>
      <c r="C36" s="1616" t="s">
        <v>288</v>
      </c>
      <c r="D36" s="1533" t="s">
        <v>201</v>
      </c>
      <c r="E36" s="1611">
        <v>9.1</v>
      </c>
      <c r="F36" s="1052">
        <v>0.89</v>
      </c>
      <c r="G36" s="1052"/>
      <c r="H36" s="1052"/>
      <c r="I36" s="1052"/>
      <c r="J36" s="1052"/>
      <c r="K36" s="1052"/>
      <c r="L36" s="510"/>
      <c r="M36" s="474"/>
      <c r="N36" s="475"/>
      <c r="O36" s="475"/>
      <c r="P36" s="511"/>
      <c r="Q36" s="512"/>
      <c r="R36" s="476">
        <f>F37+I37</f>
        <v>2.0799300000000001</v>
      </c>
      <c r="S36" s="1044">
        <f>R36+R37</f>
        <v>4.4361300000000004</v>
      </c>
      <c r="T36" s="1044">
        <f>E36*S36</f>
        <v>40.368783000000001</v>
      </c>
      <c r="U36" s="1316">
        <f>E36*Q37</f>
        <v>21.441420000000001</v>
      </c>
      <c r="V36" s="273">
        <f t="shared" si="0"/>
        <v>5.8909019460549841</v>
      </c>
      <c r="W36" s="274">
        <f t="shared" si="1"/>
        <v>53.607207709100351</v>
      </c>
      <c r="X36" s="419"/>
      <c r="Y36" s="485"/>
      <c r="Z36" s="487"/>
      <c r="AA36" s="487"/>
      <c r="AB36" s="487"/>
      <c r="AC36" s="487"/>
      <c r="AD36" s="487"/>
      <c r="AE36" s="487"/>
      <c r="AF36" s="487"/>
      <c r="AG36" s="487"/>
      <c r="AH36" s="488"/>
      <c r="AI36" s="488"/>
      <c r="AJ36" s="488"/>
      <c r="AK36" s="488"/>
      <c r="AL36" s="488"/>
    </row>
    <row r="37" spans="1:49" s="489" customFormat="1" ht="16.5" customHeight="1">
      <c r="A37" s="1107"/>
      <c r="B37" s="1098"/>
      <c r="C37" s="1617"/>
      <c r="D37" s="1534"/>
      <c r="E37" s="1612"/>
      <c r="F37" s="1052">
        <f>F36*$J$13/1000</f>
        <v>2.0799300000000001</v>
      </c>
      <c r="G37" s="1052"/>
      <c r="H37" s="1052"/>
      <c r="I37" s="1184">
        <f>I36*$Q$13/1000</f>
        <v>0</v>
      </c>
      <c r="J37" s="1184"/>
      <c r="K37" s="1184"/>
      <c r="L37" s="513" t="s">
        <v>231</v>
      </c>
      <c r="M37" s="471" t="s">
        <v>180</v>
      </c>
      <c r="N37" s="472">
        <v>1.1000000000000001</v>
      </c>
      <c r="O37" s="514">
        <f>E36*N37</f>
        <v>10.01</v>
      </c>
      <c r="P37" s="464">
        <v>2</v>
      </c>
      <c r="Q37" s="473">
        <f>N37*P37*1.071</f>
        <v>2.3562000000000003</v>
      </c>
      <c r="R37" s="476">
        <f>SUM(Q37:Q37)</f>
        <v>2.3562000000000003</v>
      </c>
      <c r="S37" s="1045"/>
      <c r="T37" s="1045"/>
      <c r="U37" s="1317"/>
      <c r="V37" s="273">
        <f t="shared" si="0"/>
        <v>0</v>
      </c>
      <c r="W37" s="274">
        <f t="shared" si="1"/>
        <v>0</v>
      </c>
      <c r="X37" s="419"/>
      <c r="Y37" s="485"/>
      <c r="Z37" s="487"/>
      <c r="AA37" s="487"/>
      <c r="AB37" s="487"/>
      <c r="AC37" s="487"/>
      <c r="AD37" s="487"/>
      <c r="AE37" s="487"/>
      <c r="AF37" s="487"/>
      <c r="AG37" s="487"/>
      <c r="AH37" s="488"/>
      <c r="AI37" s="488"/>
      <c r="AJ37" s="488"/>
      <c r="AK37" s="488"/>
      <c r="AL37" s="488"/>
    </row>
    <row r="38" spans="1:49" s="463" customFormat="1">
      <c r="A38" s="1095">
        <f>+A32+1</f>
        <v>7</v>
      </c>
      <c r="B38" s="1097" t="s">
        <v>232</v>
      </c>
      <c r="C38" s="1608" t="s">
        <v>291</v>
      </c>
      <c r="D38" s="1610" t="s">
        <v>201</v>
      </c>
      <c r="E38" s="1611">
        <v>9.3000000000000007</v>
      </c>
      <c r="F38" s="1318">
        <f>0.001*9.86</f>
        <v>9.859999999999999E-3</v>
      </c>
      <c r="G38" s="1319"/>
      <c r="H38" s="1320"/>
      <c r="I38" s="1318">
        <f>0.001*210.8</f>
        <v>0.21080000000000002</v>
      </c>
      <c r="J38" s="1319"/>
      <c r="K38" s="1320"/>
      <c r="L38" s="393"/>
      <c r="M38" s="394"/>
      <c r="N38" s="395"/>
      <c r="O38" s="395"/>
      <c r="P38" s="396"/>
      <c r="Q38" s="397"/>
      <c r="R38" s="1044">
        <f>F39+I39</f>
        <v>0.70241116800000014</v>
      </c>
      <c r="S38" s="1044">
        <f>R38+R39</f>
        <v>0.70241116800000014</v>
      </c>
      <c r="T38" s="1044">
        <f>E38*S38</f>
        <v>6.5324238624000017</v>
      </c>
      <c r="U38" s="1105">
        <f>E38*Q39</f>
        <v>0</v>
      </c>
      <c r="V38" s="273">
        <f t="shared" si="0"/>
        <v>0.93275790306008954</v>
      </c>
      <c r="W38" s="274">
        <f t="shared" si="1"/>
        <v>8.6746484984588328</v>
      </c>
      <c r="X38" s="419"/>
      <c r="Y38" s="158"/>
      <c r="Z38" s="469"/>
      <c r="AA38" s="469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</row>
    <row r="39" spans="1:49" s="463" customFormat="1">
      <c r="A39" s="1107"/>
      <c r="B39" s="1098"/>
      <c r="C39" s="1609"/>
      <c r="D39" s="1610"/>
      <c r="E39" s="1612"/>
      <c r="F39" s="1613">
        <f>F38*$J$13/1000</f>
        <v>2.3042819999999999E-2</v>
      </c>
      <c r="G39" s="1614"/>
      <c r="H39" s="1615"/>
      <c r="I39" s="1318">
        <f>I38*$Q$13/1000</f>
        <v>0.67936834800000012</v>
      </c>
      <c r="J39" s="1319"/>
      <c r="K39" s="1320"/>
      <c r="L39" s="390"/>
      <c r="M39" s="401"/>
      <c r="N39" s="402"/>
      <c r="O39" s="402"/>
      <c r="P39" s="391"/>
      <c r="Q39" s="403"/>
      <c r="R39" s="1045"/>
      <c r="S39" s="1045"/>
      <c r="T39" s="1045"/>
      <c r="U39" s="1106"/>
      <c r="V39" s="273">
        <f t="shared" si="0"/>
        <v>0</v>
      </c>
      <c r="W39" s="274">
        <f t="shared" si="1"/>
        <v>0</v>
      </c>
      <c r="X39" s="419"/>
      <c r="Y39" s="158"/>
      <c r="Z39" s="156"/>
      <c r="AA39" s="156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</row>
    <row r="40" spans="1:49" s="242" customFormat="1">
      <c r="A40" s="1095">
        <f>+A38+1</f>
        <v>8</v>
      </c>
      <c r="B40" s="1097" t="s">
        <v>233</v>
      </c>
      <c r="C40" s="1602" t="s">
        <v>292</v>
      </c>
      <c r="D40" s="1604" t="s">
        <v>289</v>
      </c>
      <c r="E40" s="1101">
        <v>16.7</v>
      </c>
      <c r="F40" s="1605"/>
      <c r="G40" s="1606"/>
      <c r="H40" s="1607"/>
      <c r="I40" s="1318">
        <v>0.39</v>
      </c>
      <c r="J40" s="1319"/>
      <c r="K40" s="1320"/>
      <c r="L40" s="393"/>
      <c r="M40" s="394"/>
      <c r="N40" s="395"/>
      <c r="O40" s="395"/>
      <c r="P40" s="388"/>
      <c r="Q40" s="478"/>
      <c r="R40" s="1044">
        <f>+F41+I41</f>
        <v>1.2568959</v>
      </c>
      <c r="S40" s="1044">
        <f>R40+R41</f>
        <v>1.2568959</v>
      </c>
      <c r="T40" s="1044">
        <f>E40:E41*S40</f>
        <v>20.990161529999998</v>
      </c>
      <c r="U40" s="1046"/>
      <c r="V40" s="273">
        <f t="shared" si="0"/>
        <v>1.6690787923930386</v>
      </c>
      <c r="W40" s="274">
        <f t="shared" si="1"/>
        <v>27.873615832963743</v>
      </c>
      <c r="X40" s="419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477"/>
      <c r="AN40" s="477"/>
      <c r="AO40" s="477"/>
      <c r="AP40" s="477"/>
      <c r="AQ40" s="477"/>
      <c r="AR40" s="477"/>
      <c r="AS40" s="477"/>
      <c r="AT40" s="477"/>
      <c r="AU40" s="477"/>
      <c r="AV40" s="477"/>
      <c r="AW40" s="477"/>
    </row>
    <row r="41" spans="1:49" s="242" customFormat="1">
      <c r="A41" s="1107"/>
      <c r="B41" s="1098"/>
      <c r="C41" s="1603"/>
      <c r="D41" s="1604"/>
      <c r="E41" s="1102"/>
      <c r="F41" s="1599"/>
      <c r="G41" s="1600"/>
      <c r="H41" s="1601"/>
      <c r="I41" s="1052">
        <f>I40*$Q$13/1000</f>
        <v>1.2568959</v>
      </c>
      <c r="J41" s="1052"/>
      <c r="K41" s="1052"/>
      <c r="L41" s="390"/>
      <c r="M41" s="401"/>
      <c r="N41" s="402"/>
      <c r="O41" s="402"/>
      <c r="P41" s="391"/>
      <c r="Q41" s="479"/>
      <c r="R41" s="1045"/>
      <c r="S41" s="1045"/>
      <c r="T41" s="1045"/>
      <c r="U41" s="1047"/>
      <c r="V41" s="273">
        <f t="shared" si="0"/>
        <v>0</v>
      </c>
      <c r="W41" s="274">
        <f t="shared" si="1"/>
        <v>0</v>
      </c>
      <c r="X41" s="419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477"/>
      <c r="AN41" s="477"/>
      <c r="AO41" s="477"/>
      <c r="AP41" s="477"/>
      <c r="AQ41" s="477"/>
      <c r="AR41" s="477"/>
      <c r="AS41" s="477"/>
      <c r="AT41" s="477"/>
      <c r="AU41" s="477"/>
      <c r="AV41" s="477"/>
      <c r="AW41" s="477"/>
    </row>
    <row r="42" spans="1:49" s="335" customFormat="1" ht="15.75" customHeight="1">
      <c r="A42" s="1095">
        <f>+A40+1</f>
        <v>9</v>
      </c>
      <c r="B42" s="1008" t="s">
        <v>237</v>
      </c>
      <c r="C42" s="1114" t="s">
        <v>293</v>
      </c>
      <c r="D42" s="1542" t="s">
        <v>194</v>
      </c>
      <c r="E42" s="1199">
        <v>23</v>
      </c>
      <c r="F42" s="993">
        <v>0.31</v>
      </c>
      <c r="G42" s="994"/>
      <c r="H42" s="995"/>
      <c r="I42" s="993">
        <v>0.2</v>
      </c>
      <c r="J42" s="994"/>
      <c r="K42" s="995"/>
      <c r="L42" s="267"/>
      <c r="M42" s="177"/>
      <c r="N42" s="545"/>
      <c r="O42" s="545"/>
      <c r="P42" s="268"/>
      <c r="Q42" s="551"/>
      <c r="R42" s="549">
        <f>F43+I43</f>
        <v>1.369032</v>
      </c>
      <c r="S42" s="987">
        <f>R42+R43</f>
        <v>12.736170075300004</v>
      </c>
      <c r="T42" s="987">
        <f>E42*S42</f>
        <v>292.93191173190007</v>
      </c>
      <c r="U42" s="1017">
        <f>E42*R43</f>
        <v>261.44417573190009</v>
      </c>
      <c r="V42" s="273">
        <f t="shared" si="0"/>
        <v>16.912833727116212</v>
      </c>
      <c r="W42" s="274">
        <f t="shared" si="1"/>
        <v>388.99517572367284</v>
      </c>
      <c r="X42" s="419"/>
      <c r="Y42" s="491"/>
      <c r="Z42" s="208"/>
      <c r="AA42" s="208"/>
      <c r="AB42" s="208"/>
      <c r="AC42" s="208"/>
      <c r="AD42" s="208"/>
      <c r="AE42" s="208"/>
      <c r="AF42" s="208"/>
      <c r="AG42" s="208"/>
      <c r="AH42" s="492"/>
      <c r="AI42" s="492"/>
      <c r="AJ42" s="492"/>
      <c r="AK42" s="492"/>
      <c r="AL42" s="492"/>
      <c r="AM42" s="490"/>
    </row>
    <row r="43" spans="1:49" s="335" customFormat="1" ht="14.25" customHeight="1">
      <c r="A43" s="1107"/>
      <c r="B43" s="1010"/>
      <c r="C43" s="1115"/>
      <c r="D43" s="1542"/>
      <c r="E43" s="1200"/>
      <c r="F43" s="993">
        <f>F42*$J$13/1000</f>
        <v>0.72447000000000006</v>
      </c>
      <c r="G43" s="994"/>
      <c r="H43" s="995"/>
      <c r="I43" s="993">
        <f>I42*$Q$13/1000</f>
        <v>0.64456199999999997</v>
      </c>
      <c r="J43" s="994"/>
      <c r="K43" s="995"/>
      <c r="L43" s="248" t="s">
        <v>250</v>
      </c>
      <c r="M43" s="243" t="s">
        <v>116</v>
      </c>
      <c r="N43" s="244">
        <v>1</v>
      </c>
      <c r="O43" s="247">
        <f>E42*N43</f>
        <v>23</v>
      </c>
      <c r="P43" s="240">
        <v>9.8629999999999995</v>
      </c>
      <c r="Q43" s="245">
        <f>N43*P43*$N$11</f>
        <v>11.367138075300003</v>
      </c>
      <c r="R43" s="546">
        <f>SUM(Q43:Q43)</f>
        <v>11.367138075300003</v>
      </c>
      <c r="S43" s="989"/>
      <c r="T43" s="989"/>
      <c r="U43" s="1019"/>
      <c r="V43" s="273">
        <f t="shared" si="0"/>
        <v>0</v>
      </c>
      <c r="W43" s="274">
        <f t="shared" si="1"/>
        <v>0</v>
      </c>
      <c r="X43" s="419"/>
      <c r="Y43" s="491"/>
      <c r="Z43" s="208"/>
      <c r="AA43" s="208"/>
      <c r="AB43" s="208"/>
      <c r="AC43" s="208"/>
      <c r="AD43" s="208"/>
      <c r="AE43" s="208"/>
      <c r="AF43" s="208"/>
      <c r="AG43" s="208"/>
      <c r="AH43" s="492"/>
      <c r="AI43" s="492"/>
      <c r="AJ43" s="492"/>
      <c r="AK43" s="492"/>
      <c r="AL43" s="492"/>
      <c r="AM43" s="490"/>
    </row>
    <row r="44" spans="1:49" s="490" customFormat="1" ht="12.95" customHeight="1">
      <c r="A44" s="1005">
        <f>+A42+1</f>
        <v>10</v>
      </c>
      <c r="B44" s="1008" t="s">
        <v>251</v>
      </c>
      <c r="C44" s="1596" t="s">
        <v>294</v>
      </c>
      <c r="D44" s="1542" t="s">
        <v>194</v>
      </c>
      <c r="E44" s="1199">
        <f>+E42</f>
        <v>23</v>
      </c>
      <c r="F44" s="1193">
        <v>0.03</v>
      </c>
      <c r="G44" s="1194"/>
      <c r="H44" s="1195"/>
      <c r="I44" s="1193">
        <v>0.17</v>
      </c>
      <c r="J44" s="1194"/>
      <c r="K44" s="1195"/>
      <c r="L44" s="339"/>
      <c r="M44" s="177"/>
      <c r="N44" s="404"/>
      <c r="O44" s="545"/>
      <c r="P44" s="545"/>
      <c r="Q44" s="544"/>
      <c r="R44" s="549">
        <f>F45+I45</f>
        <v>0.61798770000000003</v>
      </c>
      <c r="S44" s="987">
        <f>R44+R45</f>
        <v>6.3194334437347219</v>
      </c>
      <c r="T44" s="987">
        <f>E44*S44</f>
        <v>145.3469692058986</v>
      </c>
      <c r="U44" s="1017">
        <f>E44*R45</f>
        <v>131.13325210589861</v>
      </c>
      <c r="V44" s="273">
        <f t="shared" si="0"/>
        <v>8.3918106033100521</v>
      </c>
      <c r="W44" s="274">
        <f t="shared" si="1"/>
        <v>193.01164387613119</v>
      </c>
      <c r="X44" s="419"/>
      <c r="Y44" s="335"/>
      <c r="Z44" s="208"/>
      <c r="AA44" s="208"/>
      <c r="AB44" s="208"/>
      <c r="AC44" s="208"/>
      <c r="AD44" s="208"/>
      <c r="AE44" s="208"/>
      <c r="AF44" s="208"/>
      <c r="AG44" s="208"/>
      <c r="AH44" s="492"/>
      <c r="AI44" s="492"/>
      <c r="AJ44" s="492"/>
      <c r="AK44" s="492"/>
      <c r="AL44" s="492"/>
      <c r="AM44" s="335"/>
    </row>
    <row r="45" spans="1:49" s="490" customFormat="1" ht="12.95" customHeight="1">
      <c r="A45" s="1006"/>
      <c r="B45" s="1009"/>
      <c r="C45" s="1597"/>
      <c r="D45" s="1542"/>
      <c r="E45" s="1287"/>
      <c r="F45" s="1164">
        <f>F44*$J$13/1000</f>
        <v>7.0110000000000006E-2</v>
      </c>
      <c r="G45" s="1520"/>
      <c r="H45" s="1166"/>
      <c r="I45" s="1164">
        <f>I44*$Q$13/1000</f>
        <v>0.54787770000000002</v>
      </c>
      <c r="J45" s="1520"/>
      <c r="K45" s="1166"/>
      <c r="L45" s="249" t="s">
        <v>247</v>
      </c>
      <c r="M45" s="250" t="s">
        <v>124</v>
      </c>
      <c r="N45" s="406">
        <v>1.47</v>
      </c>
      <c r="O45" s="252">
        <f>E44*N45</f>
        <v>33.81</v>
      </c>
      <c r="P45" s="236">
        <v>1.4450000000000001</v>
      </c>
      <c r="Q45" s="253">
        <f>N45*P45*$N$11</f>
        <v>2.4480894598650011</v>
      </c>
      <c r="R45" s="987">
        <f>SUM(Q45:Q47)</f>
        <v>5.7014457437347223</v>
      </c>
      <c r="S45" s="988"/>
      <c r="T45" s="988"/>
      <c r="U45" s="1018"/>
      <c r="V45" s="273">
        <f t="shared" si="0"/>
        <v>0</v>
      </c>
      <c r="W45" s="274">
        <f t="shared" si="1"/>
        <v>0</v>
      </c>
      <c r="X45" s="419"/>
      <c r="Y45" s="335"/>
      <c r="Z45" s="239"/>
      <c r="AA45" s="239"/>
      <c r="AB45" s="156"/>
      <c r="AC45" s="156"/>
      <c r="AD45" s="156"/>
      <c r="AE45" s="156"/>
      <c r="AF45" s="156"/>
      <c r="AG45" s="156"/>
      <c r="AH45" s="468"/>
      <c r="AI45" s="468"/>
      <c r="AJ45" s="468"/>
      <c r="AK45" s="468"/>
      <c r="AL45" s="468"/>
      <c r="AM45" s="335"/>
    </row>
    <row r="46" spans="1:49" s="490" customFormat="1" ht="12.95" customHeight="1">
      <c r="A46" s="1006"/>
      <c r="B46" s="1009"/>
      <c r="C46" s="1597"/>
      <c r="D46" s="1542"/>
      <c r="E46" s="1287"/>
      <c r="F46" s="1288"/>
      <c r="G46" s="1289"/>
      <c r="H46" s="1290"/>
      <c r="I46" s="1288"/>
      <c r="J46" s="1289"/>
      <c r="K46" s="1290"/>
      <c r="L46" s="259" t="s">
        <v>248</v>
      </c>
      <c r="M46" s="260" t="s">
        <v>124</v>
      </c>
      <c r="N46" s="407">
        <v>1.3644700000000001</v>
      </c>
      <c r="O46" s="261">
        <f>E44*N46</f>
        <v>31.382810000000003</v>
      </c>
      <c r="P46" s="237">
        <v>1.96</v>
      </c>
      <c r="Q46" s="262">
        <f>N46*P46*$N$11</f>
        <v>3.0822095735197208</v>
      </c>
      <c r="R46" s="988"/>
      <c r="S46" s="988"/>
      <c r="T46" s="988"/>
      <c r="U46" s="1018"/>
      <c r="V46" s="273">
        <f t="shared" si="0"/>
        <v>0</v>
      </c>
      <c r="W46" s="274">
        <f t="shared" si="1"/>
        <v>0</v>
      </c>
      <c r="X46" s="419"/>
      <c r="Y46" s="491"/>
      <c r="Z46" s="239"/>
      <c r="AA46" s="239"/>
      <c r="AB46" s="156"/>
      <c r="AC46" s="156"/>
      <c r="AD46" s="156"/>
      <c r="AE46" s="156"/>
      <c r="AF46" s="156"/>
      <c r="AG46" s="156"/>
      <c r="AH46" s="468"/>
      <c r="AI46" s="468"/>
      <c r="AJ46" s="468"/>
      <c r="AK46" s="468"/>
      <c r="AL46" s="468"/>
    </row>
    <row r="47" spans="1:49" s="490" customFormat="1" ht="12.95" customHeight="1">
      <c r="A47" s="1007"/>
      <c r="B47" s="1010"/>
      <c r="C47" s="1598"/>
      <c r="D47" s="1542"/>
      <c r="E47" s="1200"/>
      <c r="F47" s="1225"/>
      <c r="G47" s="1226"/>
      <c r="H47" s="1167"/>
      <c r="I47" s="1225"/>
      <c r="J47" s="1226"/>
      <c r="K47" s="1167"/>
      <c r="L47" s="263" t="s">
        <v>249</v>
      </c>
      <c r="M47" s="254" t="s">
        <v>124</v>
      </c>
      <c r="N47" s="408">
        <v>0.15</v>
      </c>
      <c r="O47" s="256">
        <f>E44*N47</f>
        <v>3.4499999999999997</v>
      </c>
      <c r="P47" s="257">
        <v>0.99</v>
      </c>
      <c r="Q47" s="258">
        <f>N47*P47*$N$11</f>
        <v>0.17114671035000004</v>
      </c>
      <c r="R47" s="989"/>
      <c r="S47" s="989"/>
      <c r="T47" s="989"/>
      <c r="U47" s="1019"/>
      <c r="V47" s="273">
        <f t="shared" si="0"/>
        <v>0</v>
      </c>
      <c r="W47" s="274">
        <f t="shared" si="1"/>
        <v>0</v>
      </c>
      <c r="X47" s="419"/>
      <c r="Z47" s="239"/>
      <c r="AA47" s="239"/>
      <c r="AB47" s="156"/>
      <c r="AC47" s="156"/>
      <c r="AD47" s="156"/>
      <c r="AE47" s="156"/>
      <c r="AF47" s="156"/>
      <c r="AG47" s="156"/>
      <c r="AH47" s="468"/>
      <c r="AI47" s="468"/>
      <c r="AJ47" s="468"/>
      <c r="AK47" s="468"/>
      <c r="AL47" s="468"/>
    </row>
    <row r="48" spans="1:49" s="335" customFormat="1" ht="12.75" customHeight="1">
      <c r="A48" s="1005">
        <f>+A38+1</f>
        <v>8</v>
      </c>
      <c r="B48" s="1008" t="s">
        <v>244</v>
      </c>
      <c r="C48" s="1547" t="s">
        <v>297</v>
      </c>
      <c r="D48" s="1542" t="s">
        <v>194</v>
      </c>
      <c r="E48" s="1199">
        <v>19</v>
      </c>
      <c r="F48" s="993">
        <v>0.39</v>
      </c>
      <c r="G48" s="994"/>
      <c r="H48" s="995"/>
      <c r="I48" s="993">
        <v>0.35</v>
      </c>
      <c r="J48" s="994"/>
      <c r="K48" s="995"/>
      <c r="L48" s="267"/>
      <c r="M48" s="177"/>
      <c r="N48" s="545"/>
      <c r="O48" s="545"/>
      <c r="P48" s="268"/>
      <c r="Q48" s="551"/>
      <c r="R48" s="549">
        <f>F49+I49</f>
        <v>2.0394134999999998</v>
      </c>
      <c r="S48" s="987">
        <f>R48+R49</f>
        <v>30.359872176300009</v>
      </c>
      <c r="T48" s="987">
        <f>E48*S48</f>
        <v>576.83757134970017</v>
      </c>
      <c r="U48" s="1017">
        <f>E48*R49</f>
        <v>538.08871484970018</v>
      </c>
      <c r="V48" s="273">
        <f t="shared" si="0"/>
        <v>40.316002931687365</v>
      </c>
      <c r="W48" s="274">
        <f t="shared" si="1"/>
        <v>766.00405570205999</v>
      </c>
      <c r="X48" s="419"/>
    </row>
    <row r="49" spans="1:25" s="335" customFormat="1" ht="12.75" customHeight="1">
      <c r="A49" s="1007"/>
      <c r="B49" s="1010"/>
      <c r="C49" s="1547"/>
      <c r="D49" s="1542"/>
      <c r="E49" s="1200"/>
      <c r="F49" s="1225">
        <f>F48*$J$13/1000</f>
        <v>0.91143000000000007</v>
      </c>
      <c r="G49" s="1226"/>
      <c r="H49" s="1167"/>
      <c r="I49" s="1225">
        <f>I48*$Q$13/1000</f>
        <v>1.1279834999999998</v>
      </c>
      <c r="J49" s="1226"/>
      <c r="K49" s="1167"/>
      <c r="L49" s="248" t="s">
        <v>245</v>
      </c>
      <c r="M49" s="243" t="s">
        <v>116</v>
      </c>
      <c r="N49" s="244">
        <v>1</v>
      </c>
      <c r="O49" s="247">
        <f>E48*N49</f>
        <v>19</v>
      </c>
      <c r="P49" s="240">
        <v>24.573</v>
      </c>
      <c r="Q49" s="245">
        <f>N49*P49*$N$11</f>
        <v>28.32045867630001</v>
      </c>
      <c r="R49" s="546">
        <f>SUM(Q49:Q49)</f>
        <v>28.32045867630001</v>
      </c>
      <c r="S49" s="989"/>
      <c r="T49" s="989"/>
      <c r="U49" s="1019"/>
      <c r="V49" s="273">
        <f t="shared" si="0"/>
        <v>0</v>
      </c>
      <c r="W49" s="274">
        <f t="shared" si="1"/>
        <v>0</v>
      </c>
      <c r="X49" s="419"/>
    </row>
    <row r="50" spans="1:25" s="490" customFormat="1" ht="12.75" customHeight="1">
      <c r="A50" s="1005">
        <f>+A48+1</f>
        <v>9</v>
      </c>
      <c r="B50" s="1008" t="s">
        <v>246</v>
      </c>
      <c r="C50" s="1596" t="s">
        <v>298</v>
      </c>
      <c r="D50" s="1014" t="s">
        <v>194</v>
      </c>
      <c r="E50" s="1199">
        <f>+E48</f>
        <v>19</v>
      </c>
      <c r="F50" s="1193">
        <v>0.03</v>
      </c>
      <c r="G50" s="1194"/>
      <c r="H50" s="1195"/>
      <c r="I50" s="1193">
        <v>0.26</v>
      </c>
      <c r="J50" s="1194"/>
      <c r="K50" s="1195"/>
      <c r="L50" s="339"/>
      <c r="M50" s="177"/>
      <c r="N50" s="545"/>
      <c r="O50" s="545"/>
      <c r="P50" s="545"/>
      <c r="Q50" s="544"/>
      <c r="R50" s="549">
        <f>F51+I51</f>
        <v>0.90804060000000009</v>
      </c>
      <c r="S50" s="987">
        <f>R50+R51</f>
        <v>10.503964428092281</v>
      </c>
      <c r="T50" s="987">
        <f>E50*S50</f>
        <v>199.57532413375336</v>
      </c>
      <c r="U50" s="1017">
        <f>E50*R51</f>
        <v>182.32255273375335</v>
      </c>
      <c r="V50" s="273">
        <f t="shared" si="0"/>
        <v>13.948604862964148</v>
      </c>
      <c r="W50" s="274">
        <f t="shared" si="1"/>
        <v>265.02349239631883</v>
      </c>
      <c r="X50" s="419"/>
    </row>
    <row r="51" spans="1:25" s="490" customFormat="1" ht="12.75" customHeight="1">
      <c r="A51" s="1006"/>
      <c r="B51" s="1009"/>
      <c r="C51" s="1597"/>
      <c r="D51" s="1015"/>
      <c r="E51" s="1287"/>
      <c r="F51" s="1164">
        <f>F50*$J$13/1000</f>
        <v>7.0110000000000006E-2</v>
      </c>
      <c r="G51" s="1520"/>
      <c r="H51" s="1166"/>
      <c r="I51" s="1164">
        <f>I50*$Q$13/1000</f>
        <v>0.83793060000000008</v>
      </c>
      <c r="J51" s="1520"/>
      <c r="K51" s="1166"/>
      <c r="L51" s="249" t="s">
        <v>247</v>
      </c>
      <c r="M51" s="250" t="s">
        <v>124</v>
      </c>
      <c r="N51" s="251">
        <v>2.4</v>
      </c>
      <c r="O51" s="252">
        <f>E50*N51</f>
        <v>45.6</v>
      </c>
      <c r="P51" s="236">
        <v>1.4450000000000001</v>
      </c>
      <c r="Q51" s="253">
        <f>N51*P51*$N$11</f>
        <v>3.9968807508000013</v>
      </c>
      <c r="R51" s="987">
        <f>SUM(Q51:Q53)</f>
        <v>9.5959238280922818</v>
      </c>
      <c r="S51" s="988"/>
      <c r="T51" s="988"/>
      <c r="U51" s="1018"/>
      <c r="V51" s="273">
        <f t="shared" si="0"/>
        <v>0</v>
      </c>
      <c r="W51" s="274">
        <f t="shared" si="1"/>
        <v>0</v>
      </c>
      <c r="X51" s="419"/>
    </row>
    <row r="52" spans="1:25" s="490" customFormat="1" ht="12.75" customHeight="1">
      <c r="A52" s="1006"/>
      <c r="B52" s="1009"/>
      <c r="C52" s="1597"/>
      <c r="D52" s="1015"/>
      <c r="E52" s="1287"/>
      <c r="F52" s="1288"/>
      <c r="G52" s="1289"/>
      <c r="H52" s="1290"/>
      <c r="I52" s="1288"/>
      <c r="J52" s="1289"/>
      <c r="K52" s="1290"/>
      <c r="L52" s="259" t="s">
        <v>248</v>
      </c>
      <c r="M52" s="260" t="s">
        <v>124</v>
      </c>
      <c r="N52" s="452">
        <v>2.3427799999999999</v>
      </c>
      <c r="O52" s="261">
        <f>E50*N52</f>
        <v>44.512819999999998</v>
      </c>
      <c r="P52" s="237">
        <v>1.96</v>
      </c>
      <c r="Q52" s="262">
        <f>N52*P52*$N$11</f>
        <v>5.2921199767312803</v>
      </c>
      <c r="R52" s="988"/>
      <c r="S52" s="988"/>
      <c r="T52" s="988"/>
      <c r="U52" s="1018"/>
      <c r="V52" s="273">
        <f t="shared" si="0"/>
        <v>0</v>
      </c>
      <c r="W52" s="274">
        <f t="shared" si="1"/>
        <v>0</v>
      </c>
      <c r="X52" s="419"/>
    </row>
    <row r="53" spans="1:25" s="490" customFormat="1" ht="12.75" customHeight="1">
      <c r="A53" s="1007"/>
      <c r="B53" s="1010"/>
      <c r="C53" s="1598"/>
      <c r="D53" s="1016"/>
      <c r="E53" s="1200"/>
      <c r="F53" s="1225"/>
      <c r="G53" s="1226"/>
      <c r="H53" s="1167"/>
      <c r="I53" s="1225"/>
      <c r="J53" s="1226"/>
      <c r="K53" s="1167"/>
      <c r="L53" s="263" t="s">
        <v>249</v>
      </c>
      <c r="M53" s="457" t="s">
        <v>124</v>
      </c>
      <c r="N53" s="255">
        <v>0.26900000000000002</v>
      </c>
      <c r="O53" s="256">
        <f>E50*N53</f>
        <v>5.1110000000000007</v>
      </c>
      <c r="P53" s="518">
        <v>0.99</v>
      </c>
      <c r="Q53" s="258">
        <f>N53*P53*$N$11</f>
        <v>0.30692310056100008</v>
      </c>
      <c r="R53" s="989"/>
      <c r="S53" s="989"/>
      <c r="T53" s="989"/>
      <c r="U53" s="1019"/>
      <c r="V53" s="273">
        <f t="shared" si="0"/>
        <v>0</v>
      </c>
      <c r="W53" s="274">
        <f t="shared" si="1"/>
        <v>0</v>
      </c>
      <c r="X53" s="419"/>
    </row>
    <row r="54" spans="1:25" s="335" customFormat="1" ht="12.75" customHeight="1">
      <c r="A54" s="1005">
        <f>+A50+1</f>
        <v>10</v>
      </c>
      <c r="B54" s="1008" t="s">
        <v>252</v>
      </c>
      <c r="C54" s="1547" t="s">
        <v>295</v>
      </c>
      <c r="D54" s="1542" t="s">
        <v>194</v>
      </c>
      <c r="E54" s="1199">
        <v>3</v>
      </c>
      <c r="F54" s="993">
        <v>0.33</v>
      </c>
      <c r="G54" s="994"/>
      <c r="H54" s="995"/>
      <c r="I54" s="993">
        <v>0.31</v>
      </c>
      <c r="J54" s="994"/>
      <c r="K54" s="995"/>
      <c r="L54" s="267"/>
      <c r="M54" s="177"/>
      <c r="N54" s="545"/>
      <c r="O54" s="545"/>
      <c r="P54" s="268"/>
      <c r="Q54" s="551"/>
      <c r="R54" s="549">
        <f>F55+I55</f>
        <v>1.7702811000000001</v>
      </c>
      <c r="S54" s="987">
        <f>R54+R55</f>
        <v>21.84342759270001</v>
      </c>
      <c r="T54" s="987">
        <f>E54*S54</f>
        <v>65.53028277810003</v>
      </c>
      <c r="U54" s="1017">
        <f>E54*R55</f>
        <v>60.219439478100028</v>
      </c>
      <c r="V54" s="273">
        <f t="shared" si="0"/>
        <v>29.00669955892808</v>
      </c>
      <c r="W54" s="274">
        <f t="shared" si="1"/>
        <v>87.020098676784244</v>
      </c>
      <c r="X54" s="419"/>
    </row>
    <row r="55" spans="1:25" s="335" customFormat="1" ht="12.75" customHeight="1">
      <c r="A55" s="1007"/>
      <c r="B55" s="1010"/>
      <c r="C55" s="1547"/>
      <c r="D55" s="1542"/>
      <c r="E55" s="1200"/>
      <c r="F55" s="993">
        <f>F54*$J$13/1000</f>
        <v>0.77121000000000006</v>
      </c>
      <c r="G55" s="994"/>
      <c r="H55" s="995"/>
      <c r="I55" s="993">
        <f>I54*$Q$13/1000</f>
        <v>0.99907109999999999</v>
      </c>
      <c r="J55" s="994"/>
      <c r="K55" s="995"/>
      <c r="L55" s="248" t="s">
        <v>253</v>
      </c>
      <c r="M55" s="243" t="s">
        <v>116</v>
      </c>
      <c r="N55" s="244">
        <v>1</v>
      </c>
      <c r="O55" s="247">
        <f>E54*N55</f>
        <v>3</v>
      </c>
      <c r="P55" s="240">
        <v>17.417000000000002</v>
      </c>
      <c r="Q55" s="245">
        <f>N55*P55*$N$11</f>
        <v>20.073146492700008</v>
      </c>
      <c r="R55" s="546">
        <f>SUM(Q55:Q55)</f>
        <v>20.073146492700008</v>
      </c>
      <c r="S55" s="989"/>
      <c r="T55" s="989"/>
      <c r="U55" s="1019"/>
      <c r="V55" s="273">
        <f t="shared" si="0"/>
        <v>0</v>
      </c>
      <c r="W55" s="274">
        <f t="shared" si="1"/>
        <v>0</v>
      </c>
      <c r="X55" s="419"/>
    </row>
    <row r="56" spans="1:25" s="398" customFormat="1" ht="12.75" customHeight="1">
      <c r="A56" s="1005">
        <f>+A54+1</f>
        <v>11</v>
      </c>
      <c r="B56" s="1008" t="s">
        <v>254</v>
      </c>
      <c r="C56" s="1596" t="s">
        <v>296</v>
      </c>
      <c r="D56" s="1014" t="s">
        <v>194</v>
      </c>
      <c r="E56" s="1199">
        <f>+E54</f>
        <v>3</v>
      </c>
      <c r="F56" s="1193">
        <v>0.03</v>
      </c>
      <c r="G56" s="1194"/>
      <c r="H56" s="1195"/>
      <c r="I56" s="1193">
        <v>0.25</v>
      </c>
      <c r="J56" s="1194"/>
      <c r="K56" s="1195"/>
      <c r="L56" s="339"/>
      <c r="M56" s="177"/>
      <c r="N56" s="404"/>
      <c r="O56" s="545"/>
      <c r="P56" s="545"/>
      <c r="Q56" s="544"/>
      <c r="R56" s="549">
        <f>F57+I57</f>
        <v>0.87581249999999999</v>
      </c>
      <c r="S56" s="987">
        <f>R56+R57</f>
        <v>8.5748964769771217</v>
      </c>
      <c r="T56" s="987">
        <f>E56*S56</f>
        <v>25.724689430931363</v>
      </c>
      <c r="U56" s="1017">
        <f>E56*R57</f>
        <v>23.097251930931368</v>
      </c>
      <c r="V56" s="273">
        <f t="shared" si="0"/>
        <v>11.386923815001939</v>
      </c>
      <c r="W56" s="274">
        <f t="shared" si="1"/>
        <v>34.160771445005821</v>
      </c>
      <c r="X56" s="419"/>
    </row>
    <row r="57" spans="1:25" s="398" customFormat="1" ht="12.75" customHeight="1">
      <c r="A57" s="1006"/>
      <c r="B57" s="1009"/>
      <c r="C57" s="1597"/>
      <c r="D57" s="1015"/>
      <c r="E57" s="1287"/>
      <c r="F57" s="1164">
        <f>F56*$J$13/1000</f>
        <v>7.0110000000000006E-2</v>
      </c>
      <c r="G57" s="1520"/>
      <c r="H57" s="1166"/>
      <c r="I57" s="1164">
        <f>I56*$Q$13/1000</f>
        <v>0.80570249999999999</v>
      </c>
      <c r="J57" s="1520"/>
      <c r="K57" s="1166"/>
      <c r="L57" s="249" t="s">
        <v>247</v>
      </c>
      <c r="M57" s="250" t="s">
        <v>124</v>
      </c>
      <c r="N57" s="515">
        <v>1.93</v>
      </c>
      <c r="O57" s="252">
        <f>E56*N57</f>
        <v>5.79</v>
      </c>
      <c r="P57" s="236">
        <v>1.4450000000000001</v>
      </c>
      <c r="Q57" s="253">
        <f>N57*P57*$N$11</f>
        <v>3.2141582704350009</v>
      </c>
      <c r="R57" s="987">
        <f>SUM(Q57:Q59)</f>
        <v>7.6990839769771222</v>
      </c>
      <c r="S57" s="988"/>
      <c r="T57" s="988"/>
      <c r="U57" s="1018"/>
      <c r="V57" s="273">
        <f t="shared" si="0"/>
        <v>0</v>
      </c>
      <c r="W57" s="274">
        <f t="shared" si="1"/>
        <v>0</v>
      </c>
      <c r="X57" s="419"/>
    </row>
    <row r="58" spans="1:25" s="398" customFormat="1" ht="12.75" customHeight="1">
      <c r="A58" s="1006"/>
      <c r="B58" s="1009"/>
      <c r="C58" s="1597"/>
      <c r="D58" s="1015"/>
      <c r="E58" s="1287"/>
      <c r="F58" s="1288"/>
      <c r="G58" s="1289"/>
      <c r="H58" s="1290"/>
      <c r="I58" s="1288"/>
      <c r="J58" s="1289"/>
      <c r="K58" s="1290"/>
      <c r="L58" s="259" t="s">
        <v>248</v>
      </c>
      <c r="M58" s="260" t="s">
        <v>124</v>
      </c>
      <c r="N58" s="516">
        <v>1.87937</v>
      </c>
      <c r="O58" s="261">
        <f>E56*N58</f>
        <v>5.6381100000000002</v>
      </c>
      <c r="P58" s="237">
        <v>1.96</v>
      </c>
      <c r="Q58" s="262">
        <f>N58*P58*$N$11</f>
        <v>4.2453203120521215</v>
      </c>
      <c r="R58" s="988"/>
      <c r="S58" s="988"/>
      <c r="T58" s="988"/>
      <c r="U58" s="1018"/>
      <c r="V58" s="273">
        <f t="shared" si="0"/>
        <v>0</v>
      </c>
      <c r="W58" s="274">
        <f t="shared" si="1"/>
        <v>0</v>
      </c>
      <c r="X58" s="419"/>
    </row>
    <row r="59" spans="1:25" s="398" customFormat="1" ht="12.75" customHeight="1">
      <c r="A59" s="1007"/>
      <c r="B59" s="1010"/>
      <c r="C59" s="1598"/>
      <c r="D59" s="1016"/>
      <c r="E59" s="1200"/>
      <c r="F59" s="1225"/>
      <c r="G59" s="1226"/>
      <c r="H59" s="1167"/>
      <c r="I59" s="1225"/>
      <c r="J59" s="1226"/>
      <c r="K59" s="1167"/>
      <c r="L59" s="263" t="s">
        <v>249</v>
      </c>
      <c r="M59" s="457" t="s">
        <v>124</v>
      </c>
      <c r="N59" s="408">
        <v>0.21</v>
      </c>
      <c r="O59" s="256">
        <f>E56*N59</f>
        <v>0.63</v>
      </c>
      <c r="P59" s="518">
        <v>0.99</v>
      </c>
      <c r="Q59" s="258">
        <f>N59*P59*$N$11</f>
        <v>0.23960539449000007</v>
      </c>
      <c r="R59" s="989"/>
      <c r="S59" s="989"/>
      <c r="T59" s="989"/>
      <c r="U59" s="1019"/>
      <c r="V59" s="273">
        <f t="shared" si="0"/>
        <v>0</v>
      </c>
      <c r="W59" s="274">
        <f t="shared" si="1"/>
        <v>0</v>
      </c>
      <c r="X59" s="419"/>
    </row>
    <row r="60" spans="1:25" s="493" customFormat="1" ht="12.75" customHeight="1">
      <c r="A60" s="1005">
        <f>+A56+1</f>
        <v>12</v>
      </c>
      <c r="B60" s="1008" t="s">
        <v>234</v>
      </c>
      <c r="C60" s="1438" t="s">
        <v>299</v>
      </c>
      <c r="D60" s="1594" t="s">
        <v>197</v>
      </c>
      <c r="E60" s="1055">
        <v>5</v>
      </c>
      <c r="F60" s="1164">
        <v>1.75</v>
      </c>
      <c r="G60" s="1520"/>
      <c r="H60" s="1166"/>
      <c r="I60" s="1164">
        <v>0.95</v>
      </c>
      <c r="J60" s="1520"/>
      <c r="K60" s="1166"/>
      <c r="L60" s="339"/>
      <c r="M60" s="177"/>
      <c r="N60" s="545"/>
      <c r="O60" s="545"/>
      <c r="P60" s="545"/>
      <c r="Q60" s="253"/>
      <c r="R60" s="549">
        <f>F61+I61</f>
        <v>7.1514195000000003</v>
      </c>
      <c r="S60" s="987">
        <f>R60+R61</f>
        <v>14.22760724137753</v>
      </c>
      <c r="T60" s="987">
        <f>E60*S60</f>
        <v>71.138036206887648</v>
      </c>
      <c r="U60" s="1112">
        <f>R61*E60</f>
        <v>35.380938706887655</v>
      </c>
      <c r="V60" s="273">
        <f t="shared" si="0"/>
        <v>18.893368586118278</v>
      </c>
      <c r="W60" s="274">
        <f t="shared" si="1"/>
        <v>94.466842930591383</v>
      </c>
      <c r="X60" s="419"/>
      <c r="Y60" s="494"/>
    </row>
    <row r="61" spans="1:25" s="493" customFormat="1" ht="12">
      <c r="A61" s="1006"/>
      <c r="B61" s="1009"/>
      <c r="C61" s="1438"/>
      <c r="D61" s="1594"/>
      <c r="E61" s="1595"/>
      <c r="F61" s="1449">
        <f>F60*$J$13/1000</f>
        <v>4.0897500000000004</v>
      </c>
      <c r="G61" s="1589"/>
      <c r="H61" s="1451"/>
      <c r="I61" s="1458">
        <f>I60*$Q$13/1000</f>
        <v>3.0616694999999998</v>
      </c>
      <c r="J61" s="1590"/>
      <c r="K61" s="1460"/>
      <c r="L61" s="249" t="s">
        <v>235</v>
      </c>
      <c r="M61" s="250" t="s">
        <v>123</v>
      </c>
      <c r="N61" s="406">
        <v>5</v>
      </c>
      <c r="O61" s="252">
        <f>E60*N61</f>
        <v>25</v>
      </c>
      <c r="P61" s="236">
        <v>1.1659999999999999</v>
      </c>
      <c r="Q61" s="253">
        <f>N61*P61*$N$11</f>
        <v>6.7190930730000025</v>
      </c>
      <c r="R61" s="1027">
        <f>SUM(Q61:Q62)</f>
        <v>7.0761877413775309</v>
      </c>
      <c r="S61" s="988"/>
      <c r="T61" s="988"/>
      <c r="U61" s="1031"/>
      <c r="V61" s="273">
        <f t="shared" si="0"/>
        <v>0</v>
      </c>
      <c r="W61" s="274">
        <f t="shared" si="1"/>
        <v>0</v>
      </c>
      <c r="X61" s="419"/>
      <c r="Y61" s="494"/>
    </row>
    <row r="62" spans="1:25" s="493" customFormat="1" ht="13.5" customHeight="1">
      <c r="A62" s="1007"/>
      <c r="B62" s="1010"/>
      <c r="C62" s="1438"/>
      <c r="D62" s="1594"/>
      <c r="E62" s="1056"/>
      <c r="F62" s="1455"/>
      <c r="G62" s="1456"/>
      <c r="H62" s="1457"/>
      <c r="I62" s="1464"/>
      <c r="J62" s="1465"/>
      <c r="K62" s="1466"/>
      <c r="L62" s="263" t="s">
        <v>236</v>
      </c>
      <c r="M62" s="254" t="s">
        <v>124</v>
      </c>
      <c r="N62" s="408">
        <v>0.36</v>
      </c>
      <c r="O62" s="256">
        <f>E60*N62</f>
        <v>1.7999999999999998</v>
      </c>
      <c r="P62" s="257">
        <v>0.86067415730337082</v>
      </c>
      <c r="Q62" s="258">
        <f>N62*P62*$N$11</f>
        <v>0.35709466837752818</v>
      </c>
      <c r="R62" s="1027"/>
      <c r="S62" s="989"/>
      <c r="T62" s="989"/>
      <c r="U62" s="1113"/>
      <c r="V62" s="273">
        <f t="shared" si="0"/>
        <v>0</v>
      </c>
      <c r="W62" s="274">
        <f t="shared" si="1"/>
        <v>0</v>
      </c>
      <c r="X62" s="419"/>
      <c r="Y62" s="494"/>
    </row>
    <row r="63" spans="1:25" s="495" customFormat="1">
      <c r="A63" s="1434">
        <f>+A60+1</f>
        <v>13</v>
      </c>
      <c r="B63" s="1437" t="s">
        <v>257</v>
      </c>
      <c r="C63" s="1053" t="s">
        <v>300</v>
      </c>
      <c r="D63" s="1446" t="s">
        <v>197</v>
      </c>
      <c r="E63" s="1442">
        <v>3</v>
      </c>
      <c r="F63" s="1443">
        <f>4.72*0.25</f>
        <v>1.18</v>
      </c>
      <c r="G63" s="1443"/>
      <c r="H63" s="1443"/>
      <c r="I63" s="1443">
        <f>2.07*0.25</f>
        <v>0.51749999999999996</v>
      </c>
      <c r="J63" s="1443"/>
      <c r="K63" s="1444"/>
      <c r="L63" s="339"/>
      <c r="M63" s="177"/>
      <c r="N63" s="545"/>
      <c r="O63" s="545"/>
      <c r="P63" s="545"/>
      <c r="Q63" s="253"/>
      <c r="R63" s="517">
        <f>F64+I64</f>
        <v>4.4254641750000001</v>
      </c>
      <c r="S63" s="1443">
        <f>R63+R64</f>
        <v>7.6026173838202258</v>
      </c>
      <c r="T63" s="1443">
        <f>E63*S63</f>
        <v>22.807852151460679</v>
      </c>
      <c r="U63" s="1445">
        <f>R64*E63</f>
        <v>9.531459626460677</v>
      </c>
      <c r="V63" s="273">
        <f t="shared" si="0"/>
        <v>10.095798261425616</v>
      </c>
      <c r="W63" s="274">
        <f t="shared" si="1"/>
        <v>30.287394784276849</v>
      </c>
      <c r="X63" s="419"/>
    </row>
    <row r="64" spans="1:25" s="495" customFormat="1">
      <c r="A64" s="1435"/>
      <c r="B64" s="1437"/>
      <c r="C64" s="1286"/>
      <c r="D64" s="1447"/>
      <c r="E64" s="1442"/>
      <c r="F64" s="1449">
        <f>F63*$J$13/1000</f>
        <v>2.75766</v>
      </c>
      <c r="G64" s="1589"/>
      <c r="H64" s="1451"/>
      <c r="I64" s="1458">
        <f>I63*$Q$13/1000</f>
        <v>1.6678041749999997</v>
      </c>
      <c r="J64" s="1590"/>
      <c r="K64" s="1460"/>
      <c r="L64" s="249" t="s">
        <v>255</v>
      </c>
      <c r="M64" s="250" t="s">
        <v>124</v>
      </c>
      <c r="N64" s="406">
        <v>2.5</v>
      </c>
      <c r="O64" s="252">
        <f>E63*N64</f>
        <v>7.5</v>
      </c>
      <c r="P64" s="236">
        <v>0.26</v>
      </c>
      <c r="Q64" s="253">
        <f>N64*P64*$N$11</f>
        <v>0.74912701500000023</v>
      </c>
      <c r="R64" s="1443">
        <f>SUM(Q64:Q65)</f>
        <v>3.1771532088202257</v>
      </c>
      <c r="S64" s="1443"/>
      <c r="T64" s="1443"/>
      <c r="U64" s="1445"/>
      <c r="V64" s="273">
        <f t="shared" si="0"/>
        <v>0</v>
      </c>
      <c r="W64" s="274">
        <f t="shared" si="1"/>
        <v>0</v>
      </c>
      <c r="X64" s="419"/>
    </row>
    <row r="65" spans="1:38" s="495" customFormat="1">
      <c r="A65" s="1436"/>
      <c r="B65" s="1437"/>
      <c r="C65" s="1054"/>
      <c r="D65" s="1448"/>
      <c r="E65" s="1442"/>
      <c r="F65" s="1455"/>
      <c r="G65" s="1456"/>
      <c r="H65" s="1457"/>
      <c r="I65" s="1464"/>
      <c r="J65" s="1465"/>
      <c r="K65" s="1466"/>
      <c r="L65" s="259" t="s">
        <v>256</v>
      </c>
      <c r="M65" s="260" t="s">
        <v>124</v>
      </c>
      <c r="N65" s="407">
        <v>1.5</v>
      </c>
      <c r="O65" s="261">
        <f>E63*N65</f>
        <v>4.5</v>
      </c>
      <c r="P65" s="237">
        <f>1.25/0.89</f>
        <v>1.4044943820224718</v>
      </c>
      <c r="Q65" s="262">
        <f>N65*P65*$N$11</f>
        <v>2.4280261938202252</v>
      </c>
      <c r="R65" s="1443"/>
      <c r="S65" s="1443"/>
      <c r="T65" s="1443"/>
      <c r="U65" s="1445"/>
      <c r="V65" s="273">
        <f t="shared" si="0"/>
        <v>0</v>
      </c>
      <c r="W65" s="274">
        <f t="shared" si="1"/>
        <v>0</v>
      </c>
      <c r="X65" s="419"/>
    </row>
    <row r="66" spans="1:38" s="155" customFormat="1" ht="17.25" customHeight="1">
      <c r="A66" s="1005">
        <f>+A63+1</f>
        <v>14</v>
      </c>
      <c r="B66" s="1008" t="s">
        <v>258</v>
      </c>
      <c r="C66" s="1053" t="s">
        <v>301</v>
      </c>
      <c r="D66" s="1014" t="s">
        <v>197</v>
      </c>
      <c r="E66" s="1055">
        <v>4</v>
      </c>
      <c r="F66" s="1591">
        <v>1.3</v>
      </c>
      <c r="G66" s="1592"/>
      <c r="H66" s="1593"/>
      <c r="I66" s="1591">
        <v>2</v>
      </c>
      <c r="J66" s="1592"/>
      <c r="K66" s="1593"/>
      <c r="L66" s="336"/>
      <c r="M66" s="177"/>
      <c r="N66" s="545"/>
      <c r="O66" s="545"/>
      <c r="P66" s="545"/>
      <c r="Q66" s="544"/>
      <c r="R66" s="549">
        <f>F67+I67</f>
        <v>9.4837199999999999</v>
      </c>
      <c r="S66" s="987">
        <f>R66+R67</f>
        <v>11.3761300902</v>
      </c>
      <c r="T66" s="987">
        <f>E66*S66</f>
        <v>45.504520360800001</v>
      </c>
      <c r="U66" s="1017">
        <f>+R67*E66</f>
        <v>7.569640360800002</v>
      </c>
      <c r="V66" s="273">
        <f t="shared" si="0"/>
        <v>15.106786069599819</v>
      </c>
      <c r="W66" s="274">
        <f t="shared" si="1"/>
        <v>60.427144278399275</v>
      </c>
      <c r="X66" s="419"/>
    </row>
    <row r="67" spans="1:38" s="155" customFormat="1" ht="14.25" customHeight="1">
      <c r="A67" s="1007"/>
      <c r="B67" s="1010"/>
      <c r="C67" s="1054"/>
      <c r="D67" s="1016"/>
      <c r="E67" s="1056"/>
      <c r="F67" s="1591">
        <f>F66*J$13/1000</f>
        <v>3.0381</v>
      </c>
      <c r="G67" s="1592"/>
      <c r="H67" s="1593"/>
      <c r="I67" s="1591">
        <f>I66*$Q$13/1000</f>
        <v>6.4456199999999999</v>
      </c>
      <c r="J67" s="1592"/>
      <c r="K67" s="1593"/>
      <c r="L67" s="337" t="s">
        <v>83</v>
      </c>
      <c r="M67" s="243" t="s">
        <v>164</v>
      </c>
      <c r="N67" s="338">
        <v>1</v>
      </c>
      <c r="O67" s="247">
        <f>E66*N67</f>
        <v>4</v>
      </c>
      <c r="P67" s="240">
        <v>1.6419999999999999</v>
      </c>
      <c r="Q67" s="245">
        <f>N67*P67*$N$11</f>
        <v>1.8924100902000005</v>
      </c>
      <c r="R67" s="547">
        <f>SUM(Q67:Q67)</f>
        <v>1.8924100902000005</v>
      </c>
      <c r="S67" s="989"/>
      <c r="T67" s="989"/>
      <c r="U67" s="1019"/>
      <c r="V67" s="273">
        <f t="shared" si="0"/>
        <v>0</v>
      </c>
      <c r="W67" s="274">
        <f t="shared" si="1"/>
        <v>0</v>
      </c>
      <c r="X67" s="419"/>
    </row>
    <row r="68" spans="1:38" s="242" customFormat="1" ht="20.25" customHeight="1">
      <c r="A68" s="1095">
        <f>+A66+1</f>
        <v>15</v>
      </c>
      <c r="B68" s="1097" t="s">
        <v>259</v>
      </c>
      <c r="C68" s="1538" t="s">
        <v>302</v>
      </c>
      <c r="D68" s="1579" t="s">
        <v>201</v>
      </c>
      <c r="E68" s="1178">
        <v>14</v>
      </c>
      <c r="F68" s="1583">
        <f>205/100</f>
        <v>2.0499999999999998</v>
      </c>
      <c r="G68" s="1583"/>
      <c r="H68" s="1583"/>
      <c r="I68" s="1578">
        <v>0</v>
      </c>
      <c r="J68" s="1578"/>
      <c r="K68" s="1578"/>
      <c r="L68" s="387"/>
      <c r="M68" s="388"/>
      <c r="N68" s="388"/>
      <c r="O68" s="388"/>
      <c r="P68" s="388"/>
      <c r="Q68" s="389"/>
      <c r="R68" s="1044">
        <f>F69+I69</f>
        <v>4.7908499999999998</v>
      </c>
      <c r="S68" s="1044">
        <f>R68+R69</f>
        <v>4.7908499999999998</v>
      </c>
      <c r="T68" s="1044">
        <f>E68*S68</f>
        <v>67.071899999999999</v>
      </c>
      <c r="U68" s="1105"/>
      <c r="V68" s="273">
        <f t="shared" si="0"/>
        <v>6.3619478212445353</v>
      </c>
      <c r="W68" s="274">
        <f t="shared" si="1"/>
        <v>89.067269497423496</v>
      </c>
      <c r="X68" s="419"/>
    </row>
    <row r="69" spans="1:38" s="242" customFormat="1" ht="20.25" customHeight="1">
      <c r="A69" s="1107"/>
      <c r="B69" s="1098"/>
      <c r="C69" s="1538"/>
      <c r="D69" s="1579"/>
      <c r="E69" s="1179"/>
      <c r="F69" s="1052">
        <f>F68*$J$13/1000</f>
        <v>4.7908499999999998</v>
      </c>
      <c r="G69" s="1052"/>
      <c r="H69" s="1052"/>
      <c r="I69" s="1578">
        <f>I68*$Q$13/1000</f>
        <v>0</v>
      </c>
      <c r="J69" s="1578"/>
      <c r="K69" s="1578"/>
      <c r="L69" s="390"/>
      <c r="M69" s="391"/>
      <c r="N69" s="391"/>
      <c r="O69" s="391"/>
      <c r="P69" s="391"/>
      <c r="Q69" s="392"/>
      <c r="R69" s="1045"/>
      <c r="S69" s="1045"/>
      <c r="T69" s="1045"/>
      <c r="U69" s="1106"/>
      <c r="V69" s="273">
        <f t="shared" si="0"/>
        <v>0</v>
      </c>
      <c r="W69" s="274">
        <f t="shared" si="1"/>
        <v>0</v>
      </c>
      <c r="X69" s="419"/>
    </row>
    <row r="70" spans="1:38" s="242" customFormat="1" ht="21.75" customHeight="1">
      <c r="A70" s="1095">
        <f>+A68+1</f>
        <v>16</v>
      </c>
      <c r="B70" s="1302" t="s">
        <v>243</v>
      </c>
      <c r="C70" s="1538" t="s">
        <v>303</v>
      </c>
      <c r="D70" s="1579" t="s">
        <v>201</v>
      </c>
      <c r="E70" s="1580">
        <v>5.7</v>
      </c>
      <c r="F70" s="1581">
        <f>0.01*474</f>
        <v>4.74</v>
      </c>
      <c r="G70" s="1581"/>
      <c r="H70" s="1581"/>
      <c r="I70" s="1582">
        <v>0</v>
      </c>
      <c r="J70" s="1582"/>
      <c r="K70" s="1582"/>
      <c r="L70" s="387"/>
      <c r="M70" s="388"/>
      <c r="N70" s="388"/>
      <c r="O70" s="388"/>
      <c r="P70" s="388"/>
      <c r="Q70" s="389"/>
      <c r="R70" s="1104">
        <f>F71+I71</f>
        <v>11.077380000000002</v>
      </c>
      <c r="S70" s="1104">
        <f>R70+R71</f>
        <v>11.077380000000002</v>
      </c>
      <c r="T70" s="1104">
        <f>E70*S70</f>
        <v>63.141066000000009</v>
      </c>
      <c r="U70" s="1185"/>
      <c r="V70" s="273">
        <f t="shared" si="0"/>
        <v>14.710064718389805</v>
      </c>
      <c r="W70" s="274">
        <f t="shared" si="1"/>
        <v>83.847368894821898</v>
      </c>
      <c r="X70" s="419"/>
    </row>
    <row r="71" spans="1:38" s="497" customFormat="1" ht="18" customHeight="1">
      <c r="A71" s="1107"/>
      <c r="B71" s="1302"/>
      <c r="C71" s="1538"/>
      <c r="D71" s="1579"/>
      <c r="E71" s="1179"/>
      <c r="F71" s="1052">
        <f>F70*$J$13/1000</f>
        <v>11.077380000000002</v>
      </c>
      <c r="G71" s="1052"/>
      <c r="H71" s="1052"/>
      <c r="I71" s="1184">
        <f>I70*$Q$13/1000</f>
        <v>0</v>
      </c>
      <c r="J71" s="1184"/>
      <c r="K71" s="1184"/>
      <c r="L71" s="390"/>
      <c r="M71" s="391"/>
      <c r="N71" s="391"/>
      <c r="O71" s="391"/>
      <c r="P71" s="391"/>
      <c r="Q71" s="392"/>
      <c r="R71" s="1104"/>
      <c r="S71" s="1045"/>
      <c r="T71" s="1045"/>
      <c r="U71" s="1185"/>
      <c r="V71" s="273">
        <f t="shared" si="0"/>
        <v>0</v>
      </c>
      <c r="W71" s="274">
        <f t="shared" si="1"/>
        <v>0</v>
      </c>
      <c r="X71" s="419"/>
      <c r="Y71" s="463"/>
      <c r="Z71" s="463"/>
      <c r="AA71" s="463"/>
      <c r="AB71" s="463"/>
      <c r="AC71" s="463"/>
      <c r="AD71" s="463"/>
      <c r="AE71" s="463"/>
      <c r="AF71" s="496"/>
      <c r="AG71" s="496"/>
      <c r="AH71" s="496"/>
      <c r="AI71" s="496"/>
      <c r="AJ71" s="496"/>
    </row>
    <row r="72" spans="1:38" s="400" customFormat="1" ht="12.75" customHeight="1">
      <c r="A72" s="1573">
        <f>+A70+1</f>
        <v>17</v>
      </c>
      <c r="B72" s="1575" t="s">
        <v>181</v>
      </c>
      <c r="C72" s="1180" t="s">
        <v>202</v>
      </c>
      <c r="D72" s="1182" t="s">
        <v>203</v>
      </c>
      <c r="E72" s="1178">
        <v>19.7</v>
      </c>
      <c r="F72" s="1567">
        <f>0.01*56.2</f>
        <v>0.56200000000000006</v>
      </c>
      <c r="G72" s="1567"/>
      <c r="H72" s="1567"/>
      <c r="I72" s="1577"/>
      <c r="J72" s="1577"/>
      <c r="K72" s="1577"/>
      <c r="L72" s="387"/>
      <c r="M72" s="388"/>
      <c r="N72" s="388"/>
      <c r="O72" s="388"/>
      <c r="P72" s="388"/>
      <c r="Q72" s="389"/>
      <c r="R72" s="1565">
        <f>F73+I73</f>
        <v>1.3133940000000002</v>
      </c>
      <c r="S72" s="1565">
        <f>R72+R73</f>
        <v>1.3133940000000002</v>
      </c>
      <c r="T72" s="1565">
        <f>E72*S72</f>
        <v>25.873861800000004</v>
      </c>
      <c r="U72" s="523"/>
      <c r="V72" s="273">
        <f t="shared" si="0"/>
        <v>1.7441047197753312</v>
      </c>
      <c r="W72" s="274">
        <f t="shared" si="1"/>
        <v>34.35886297957402</v>
      </c>
      <c r="X72" s="419"/>
      <c r="Y72" s="524"/>
      <c r="Z72" s="398"/>
      <c r="AA72" s="398"/>
      <c r="AB72" s="398"/>
      <c r="AC72" s="398"/>
      <c r="AD72" s="398"/>
      <c r="AE72" s="398"/>
      <c r="AF72" s="398"/>
      <c r="AG72" s="398"/>
      <c r="AH72" s="399"/>
      <c r="AI72" s="399"/>
      <c r="AJ72" s="399"/>
      <c r="AK72" s="399"/>
      <c r="AL72" s="399"/>
    </row>
    <row r="73" spans="1:38" s="400" customFormat="1" ht="12.75" customHeight="1">
      <c r="A73" s="1574"/>
      <c r="B73" s="1576"/>
      <c r="C73" s="1181"/>
      <c r="D73" s="1183"/>
      <c r="E73" s="1179"/>
      <c r="F73" s="1567">
        <f>F72*$J$13/1000</f>
        <v>1.3133940000000002</v>
      </c>
      <c r="G73" s="1567"/>
      <c r="H73" s="1567"/>
      <c r="I73" s="1568">
        <f>J72*$Q$13/1000</f>
        <v>0</v>
      </c>
      <c r="J73" s="1568"/>
      <c r="K73" s="1568"/>
      <c r="L73" s="390"/>
      <c r="M73" s="391"/>
      <c r="N73" s="391"/>
      <c r="O73" s="391"/>
      <c r="P73" s="391"/>
      <c r="Q73" s="392"/>
      <c r="R73" s="1566"/>
      <c r="S73" s="1566"/>
      <c r="T73" s="1566"/>
      <c r="U73" s="525"/>
      <c r="V73" s="273">
        <f t="shared" si="0"/>
        <v>0</v>
      </c>
      <c r="W73" s="274">
        <f t="shared" si="1"/>
        <v>0</v>
      </c>
      <c r="X73" s="419"/>
      <c r="Y73" s="157"/>
      <c r="Z73" s="398"/>
      <c r="AA73" s="398"/>
      <c r="AB73" s="398"/>
      <c r="AC73" s="398"/>
      <c r="AD73" s="398"/>
      <c r="AE73" s="398"/>
      <c r="AF73" s="398"/>
      <c r="AG73" s="398"/>
      <c r="AH73" s="399"/>
      <c r="AI73" s="399"/>
      <c r="AJ73" s="399"/>
      <c r="AK73" s="399"/>
      <c r="AL73" s="399"/>
    </row>
    <row r="74" spans="1:38" s="405" customFormat="1" ht="12.75" customHeight="1">
      <c r="A74" s="1005">
        <f>+A72+1</f>
        <v>18</v>
      </c>
      <c r="B74" s="1008" t="s">
        <v>182</v>
      </c>
      <c r="C74" s="1569" t="s">
        <v>204</v>
      </c>
      <c r="D74" s="974" t="s">
        <v>201</v>
      </c>
      <c r="E74" s="1199">
        <v>19.7</v>
      </c>
      <c r="F74" s="1193">
        <v>2.78</v>
      </c>
      <c r="G74" s="1194"/>
      <c r="H74" s="1195"/>
      <c r="I74" s="1193">
        <v>0.34</v>
      </c>
      <c r="J74" s="1194"/>
      <c r="K74" s="1195"/>
      <c r="L74" s="339"/>
      <c r="M74" s="177"/>
      <c r="N74" s="404"/>
      <c r="O74" s="545"/>
      <c r="P74" s="545"/>
      <c r="Q74" s="544"/>
      <c r="R74" s="549">
        <f>F75+I75</f>
        <v>7.5926153999999997</v>
      </c>
      <c r="S74" s="987">
        <f>R74+R75</f>
        <v>46.176733652216264</v>
      </c>
      <c r="T74" s="987">
        <f>E74*S74</f>
        <v>909.68165294866037</v>
      </c>
      <c r="U74" s="1017">
        <f>E74*R75</f>
        <v>760.10712956866041</v>
      </c>
      <c r="V74" s="273">
        <f t="shared" si="0"/>
        <v>61.319801298497438</v>
      </c>
      <c r="W74" s="274">
        <f t="shared" si="1"/>
        <v>1208.0000855803994</v>
      </c>
      <c r="X74" s="419"/>
    </row>
    <row r="75" spans="1:38" s="405" customFormat="1" ht="12">
      <c r="A75" s="1006"/>
      <c r="B75" s="1009"/>
      <c r="C75" s="1570"/>
      <c r="D75" s="1572"/>
      <c r="E75" s="1287"/>
      <c r="F75" s="1164">
        <f>F74*$J$13/1000</f>
        <v>6.4968599999999999</v>
      </c>
      <c r="G75" s="1520"/>
      <c r="H75" s="1166"/>
      <c r="I75" s="1164">
        <f>I74*$Q$13/1000</f>
        <v>1.0957554</v>
      </c>
      <c r="J75" s="1520"/>
      <c r="K75" s="1166"/>
      <c r="L75" s="249" t="s">
        <v>183</v>
      </c>
      <c r="M75" s="250" t="s">
        <v>184</v>
      </c>
      <c r="N75" s="406">
        <v>1.02</v>
      </c>
      <c r="O75" s="252">
        <f>E74*N75</f>
        <v>20.094000000000001</v>
      </c>
      <c r="P75" s="237">
        <v>27.25</v>
      </c>
      <c r="Q75" s="253">
        <f>N75*P75*$N$11</f>
        <v>32.033823664500012</v>
      </c>
      <c r="R75" s="987">
        <f>SUM(Q75:Q77)</f>
        <v>38.584118252216264</v>
      </c>
      <c r="S75" s="988"/>
      <c r="T75" s="988"/>
      <c r="U75" s="1018"/>
      <c r="V75" s="273">
        <f t="shared" si="0"/>
        <v>0</v>
      </c>
      <c r="W75" s="274">
        <f t="shared" si="1"/>
        <v>0</v>
      </c>
      <c r="X75" s="419"/>
    </row>
    <row r="76" spans="1:38" s="405" customFormat="1" ht="12">
      <c r="A76" s="1006"/>
      <c r="B76" s="1009"/>
      <c r="C76" s="1570"/>
      <c r="D76" s="1572"/>
      <c r="E76" s="1287"/>
      <c r="F76" s="1288"/>
      <c r="G76" s="1289"/>
      <c r="H76" s="1290"/>
      <c r="I76" s="1288"/>
      <c r="J76" s="1289"/>
      <c r="K76" s="1290"/>
      <c r="L76" s="259" t="s">
        <v>185</v>
      </c>
      <c r="M76" s="260" t="s">
        <v>186</v>
      </c>
      <c r="N76" s="407">
        <v>1.17</v>
      </c>
      <c r="O76" s="261">
        <f>E74*N76</f>
        <v>23.048999999999999</v>
      </c>
      <c r="P76" s="237">
        <v>3.5</v>
      </c>
      <c r="Q76" s="262">
        <f>N76*P76*$N$11</f>
        <v>4.719500194500001</v>
      </c>
      <c r="R76" s="988"/>
      <c r="S76" s="988"/>
      <c r="T76" s="988"/>
      <c r="U76" s="1018"/>
      <c r="V76" s="273">
        <f t="shared" si="0"/>
        <v>0</v>
      </c>
      <c r="W76" s="274">
        <f t="shared" si="1"/>
        <v>0</v>
      </c>
      <c r="X76" s="419"/>
    </row>
    <row r="77" spans="1:38" s="405" customFormat="1" ht="13.5" customHeight="1">
      <c r="A77" s="1007"/>
      <c r="B77" s="1010"/>
      <c r="C77" s="1571"/>
      <c r="D77" s="975"/>
      <c r="E77" s="1200"/>
      <c r="F77" s="1225"/>
      <c r="G77" s="1226"/>
      <c r="H77" s="1167"/>
      <c r="I77" s="1225"/>
      <c r="J77" s="1226"/>
      <c r="K77" s="1167"/>
      <c r="L77" s="263" t="s">
        <v>187</v>
      </c>
      <c r="M77" s="254" t="s">
        <v>184</v>
      </c>
      <c r="N77" s="408">
        <v>1.2500000000000001E-2</v>
      </c>
      <c r="O77" s="256">
        <f>E74*N77</f>
        <v>0.24625</v>
      </c>
      <c r="P77" s="370">
        <v>127.083</v>
      </c>
      <c r="Q77" s="258">
        <f>N77*P77*$N$11</f>
        <v>1.8307943932162507</v>
      </c>
      <c r="R77" s="989"/>
      <c r="S77" s="989"/>
      <c r="T77" s="989"/>
      <c r="U77" s="1019"/>
      <c r="V77" s="273">
        <f t="shared" si="0"/>
        <v>0</v>
      </c>
      <c r="W77" s="274">
        <f t="shared" si="1"/>
        <v>0</v>
      </c>
      <c r="X77" s="419"/>
    </row>
    <row r="78" spans="1:38" s="413" customFormat="1" ht="14.25" customHeight="1">
      <c r="A78" s="1005">
        <f>+A74+1</f>
        <v>19</v>
      </c>
      <c r="B78" s="1008" t="s">
        <v>188</v>
      </c>
      <c r="C78" s="1558" t="s">
        <v>206</v>
      </c>
      <c r="D78" s="1560" t="s">
        <v>199</v>
      </c>
      <c r="E78" s="1189">
        <v>88.6</v>
      </c>
      <c r="F78" s="1190">
        <f>0.001*14.8</f>
        <v>1.4800000000000001E-2</v>
      </c>
      <c r="G78" s="1191"/>
      <c r="H78" s="1192"/>
      <c r="I78" s="1193">
        <f>0.001*4.98</f>
        <v>4.9800000000000009E-3</v>
      </c>
      <c r="J78" s="1194"/>
      <c r="K78" s="1195"/>
      <c r="L78" s="339" t="s">
        <v>260</v>
      </c>
      <c r="M78" s="177"/>
      <c r="N78" s="404"/>
      <c r="O78" s="545"/>
      <c r="P78" s="545"/>
      <c r="Q78" s="544"/>
      <c r="R78" s="548">
        <f>F79+I79</f>
        <v>5.0637193800000008E-2</v>
      </c>
      <c r="S78" s="1020">
        <f>R78+R79</f>
        <v>0.68863524988560021</v>
      </c>
      <c r="T78" s="1020">
        <f>E78*S78</f>
        <v>61.013083139864172</v>
      </c>
      <c r="U78" s="1196">
        <f>R79*E78</f>
        <v>56.526627769184174</v>
      </c>
      <c r="V78" s="273">
        <f t="shared" si="0"/>
        <v>0.91446434925783115</v>
      </c>
      <c r="W78" s="274">
        <f t="shared" si="1"/>
        <v>81.021541344243829</v>
      </c>
      <c r="X78" s="419"/>
      <c r="Y78" s="156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</row>
    <row r="79" spans="1:38" s="413" customFormat="1" ht="14.25" customHeight="1">
      <c r="A79" s="1006"/>
      <c r="B79" s="1009"/>
      <c r="C79" s="1563"/>
      <c r="D79" s="1564"/>
      <c r="E79" s="1189"/>
      <c r="F79" s="1020">
        <f>F78*J$13/1000</f>
        <v>3.4587600000000003E-2</v>
      </c>
      <c r="G79" s="1020"/>
      <c r="H79" s="1020"/>
      <c r="I79" s="1020">
        <f>I78*$Q$13/1000</f>
        <v>1.6049593800000005E-2</v>
      </c>
      <c r="J79" s="1020"/>
      <c r="K79" s="1020"/>
      <c r="L79" s="249" t="s">
        <v>189</v>
      </c>
      <c r="M79" s="250" t="s">
        <v>124</v>
      </c>
      <c r="N79" s="406">
        <v>1</v>
      </c>
      <c r="O79" s="252">
        <f>E78*N79</f>
        <v>88.6</v>
      </c>
      <c r="P79" s="236">
        <v>0.55000000000000004</v>
      </c>
      <c r="Q79" s="253">
        <f>N79*P79*$N$11</f>
        <v>0.63387670500000026</v>
      </c>
      <c r="R79" s="1020">
        <f>SUM(Q79:Q80)</f>
        <v>0.63799805608560023</v>
      </c>
      <c r="S79" s="1020"/>
      <c r="T79" s="1020"/>
      <c r="U79" s="1196"/>
      <c r="V79" s="273">
        <f t="shared" si="0"/>
        <v>0</v>
      </c>
      <c r="W79" s="274">
        <f t="shared" si="1"/>
        <v>0</v>
      </c>
      <c r="X79" s="419"/>
      <c r="Y79" s="156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</row>
    <row r="80" spans="1:38" s="413" customFormat="1" ht="13.5" customHeight="1">
      <c r="A80" s="1007"/>
      <c r="B80" s="1010"/>
      <c r="C80" s="1559"/>
      <c r="D80" s="1561"/>
      <c r="E80" s="1189"/>
      <c r="F80" s="1020"/>
      <c r="G80" s="1020"/>
      <c r="H80" s="1020"/>
      <c r="I80" s="1020"/>
      <c r="J80" s="1020"/>
      <c r="K80" s="1020"/>
      <c r="L80" s="259" t="s">
        <v>190</v>
      </c>
      <c r="M80" s="260" t="s">
        <v>124</v>
      </c>
      <c r="N80" s="407">
        <v>4.0000000000000001E-3</v>
      </c>
      <c r="O80" s="261">
        <f>E78*N80</f>
        <v>0.35439999999999999</v>
      </c>
      <c r="P80" s="237">
        <v>0.89400000000000002</v>
      </c>
      <c r="Q80" s="412">
        <f t="shared" ref="Q80" si="3">N80*P80*$N$11</f>
        <v>4.1213510856000016E-3</v>
      </c>
      <c r="R80" s="1020"/>
      <c r="S80" s="1020"/>
      <c r="T80" s="1020"/>
      <c r="U80" s="1196"/>
      <c r="V80" s="273">
        <f t="shared" si="0"/>
        <v>0</v>
      </c>
      <c r="W80" s="274">
        <f t="shared" si="1"/>
        <v>0</v>
      </c>
      <c r="X80" s="419"/>
      <c r="Y80" s="156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</row>
    <row r="81" spans="1:38" s="241" customFormat="1">
      <c r="A81" s="1005">
        <f>+A78+1</f>
        <v>20</v>
      </c>
      <c r="B81" s="1437" t="s">
        <v>191</v>
      </c>
      <c r="C81" s="1558" t="s">
        <v>207</v>
      </c>
      <c r="D81" s="1560" t="s">
        <v>199</v>
      </c>
      <c r="E81" s="1562">
        <v>6.7</v>
      </c>
      <c r="F81" s="1556"/>
      <c r="G81" s="1556"/>
      <c r="H81" s="1556"/>
      <c r="I81" s="1557"/>
      <c r="J81" s="1557"/>
      <c r="K81" s="1557"/>
      <c r="L81" s="414"/>
      <c r="M81" s="415"/>
      <c r="N81" s="415"/>
      <c r="O81" s="415"/>
      <c r="P81" s="415"/>
      <c r="Q81" s="416"/>
      <c r="R81" s="550"/>
      <c r="S81" s="1443">
        <f>R81+R82</f>
        <v>1.294947303370787</v>
      </c>
      <c r="T81" s="1443">
        <f>E81*S81</f>
        <v>8.6761469325842739</v>
      </c>
      <c r="U81" s="1445">
        <f>R82*E81</f>
        <v>8.6761469325842739</v>
      </c>
      <c r="V81" s="273">
        <f t="shared" si="0"/>
        <v>1.7196086655408256</v>
      </c>
      <c r="W81" s="274">
        <f t="shared" si="1"/>
        <v>11.521378059123531</v>
      </c>
      <c r="X81" s="419"/>
    </row>
    <row r="82" spans="1:38" s="241" customFormat="1" ht="13.5" customHeight="1">
      <c r="A82" s="1007"/>
      <c r="B82" s="1437"/>
      <c r="C82" s="1559"/>
      <c r="D82" s="1561"/>
      <c r="E82" s="1562"/>
      <c r="F82" s="1556"/>
      <c r="G82" s="1556"/>
      <c r="H82" s="1556"/>
      <c r="I82" s="1557"/>
      <c r="J82" s="1557"/>
      <c r="K82" s="1557"/>
      <c r="L82" s="246" t="s">
        <v>192</v>
      </c>
      <c r="M82" s="250" t="s">
        <v>124</v>
      </c>
      <c r="N82" s="264">
        <v>1</v>
      </c>
      <c r="O82" s="265">
        <f>E81*N82</f>
        <v>6.7</v>
      </c>
      <c r="P82" s="240">
        <f>1 /0.89</f>
        <v>1.1235955056179776</v>
      </c>
      <c r="Q82" s="233">
        <f>N82*P82*$N$11</f>
        <v>1.294947303370787</v>
      </c>
      <c r="R82" s="550">
        <f>SUM(Q82:Q82)</f>
        <v>1.294947303370787</v>
      </c>
      <c r="S82" s="1443"/>
      <c r="T82" s="1443"/>
      <c r="U82" s="1445"/>
      <c r="V82" s="273">
        <f t="shared" si="0"/>
        <v>0</v>
      </c>
      <c r="W82" s="274">
        <f t="shared" si="1"/>
        <v>0</v>
      </c>
      <c r="X82" s="419"/>
    </row>
    <row r="83" spans="1:38" s="156" customFormat="1" ht="14.25" customHeight="1">
      <c r="A83" s="1005">
        <f>+A81+1</f>
        <v>21</v>
      </c>
      <c r="B83" s="1008" t="s">
        <v>261</v>
      </c>
      <c r="C83" s="1011" t="s">
        <v>304</v>
      </c>
      <c r="D83" s="1014" t="s">
        <v>199</v>
      </c>
      <c r="E83" s="1199">
        <v>60.8</v>
      </c>
      <c r="F83" s="1193">
        <v>0.124</v>
      </c>
      <c r="G83" s="1194"/>
      <c r="H83" s="1195"/>
      <c r="I83" s="1201">
        <f>1.4/1000</f>
        <v>1.4E-3</v>
      </c>
      <c r="J83" s="1202"/>
      <c r="K83" s="1203"/>
      <c r="L83" s="339"/>
      <c r="M83" s="177"/>
      <c r="N83" s="545"/>
      <c r="O83" s="543"/>
      <c r="P83" s="545"/>
      <c r="Q83" s="544"/>
      <c r="R83" s="549">
        <f>F84+I84</f>
        <v>0.29429993399999999</v>
      </c>
      <c r="S83" s="987">
        <f>R83+R84</f>
        <v>0.640050864</v>
      </c>
      <c r="T83" s="987">
        <f>E83*S83</f>
        <v>38.915092531199996</v>
      </c>
      <c r="U83" s="1112">
        <f>R84*E83</f>
        <v>21.021656544000002</v>
      </c>
      <c r="V83" s="273">
        <f t="shared" si="0"/>
        <v>0.84994733705093717</v>
      </c>
      <c r="W83" s="274">
        <f t="shared" si="1"/>
        <v>51.676798092696977</v>
      </c>
      <c r="X83" s="419"/>
      <c r="Y83" s="239"/>
    </row>
    <row r="84" spans="1:38" s="156" customFormat="1" ht="27.75" customHeight="1">
      <c r="A84" s="1007"/>
      <c r="B84" s="1009"/>
      <c r="C84" s="1013"/>
      <c r="D84" s="1016"/>
      <c r="E84" s="1287"/>
      <c r="F84" s="1164">
        <f>F83*J$13/1000</f>
        <v>0.28978799999999999</v>
      </c>
      <c r="G84" s="1520"/>
      <c r="H84" s="1166"/>
      <c r="I84" s="1293">
        <f>I83*$Q$13/1000</f>
        <v>4.5119340000000004E-3</v>
      </c>
      <c r="J84" s="1544"/>
      <c r="K84" s="1295"/>
      <c r="L84" s="246" t="s">
        <v>262</v>
      </c>
      <c r="M84" s="250" t="s">
        <v>124</v>
      </c>
      <c r="N84" s="264">
        <v>1</v>
      </c>
      <c r="O84" s="265">
        <f>E83*N84</f>
        <v>60.8</v>
      </c>
      <c r="P84" s="243">
        <v>0.3</v>
      </c>
      <c r="Q84" s="233">
        <f>N84*P84*$N$11</f>
        <v>0.34575093000000007</v>
      </c>
      <c r="R84" s="547">
        <f>SUM(Q84:Q84)</f>
        <v>0.34575093000000007</v>
      </c>
      <c r="S84" s="988"/>
      <c r="T84" s="988"/>
      <c r="U84" s="1031"/>
      <c r="V84" s="273">
        <f t="shared" si="0"/>
        <v>0</v>
      </c>
      <c r="W84" s="274">
        <f t="shared" si="1"/>
        <v>0</v>
      </c>
      <c r="X84" s="419"/>
      <c r="Y84" s="239"/>
    </row>
    <row r="85" spans="1:38" s="410" customFormat="1" ht="14.25" customHeight="1">
      <c r="A85" s="1005">
        <f>+A83+1</f>
        <v>22</v>
      </c>
      <c r="B85" s="1008" t="s">
        <v>188</v>
      </c>
      <c r="C85" s="1438" t="s">
        <v>305</v>
      </c>
      <c r="D85" s="1588" t="s">
        <v>199</v>
      </c>
      <c r="E85" s="1189">
        <f>536.6+241.5</f>
        <v>778.1</v>
      </c>
      <c r="F85" s="1190">
        <f>0.001*14.8</f>
        <v>1.4800000000000001E-2</v>
      </c>
      <c r="G85" s="1191"/>
      <c r="H85" s="1192"/>
      <c r="I85" s="1193">
        <f>0.001*4.98</f>
        <v>4.9800000000000009E-3</v>
      </c>
      <c r="J85" s="1194"/>
      <c r="K85" s="1195"/>
      <c r="L85" s="339"/>
      <c r="M85" s="177"/>
      <c r="N85" s="404"/>
      <c r="O85" s="545"/>
      <c r="P85" s="558"/>
      <c r="Q85" s="544"/>
      <c r="R85" s="548">
        <f>F86+I86</f>
        <v>5.0637193800000008E-2</v>
      </c>
      <c r="S85" s="1020">
        <f>R85+R86</f>
        <v>0.71638404801207312</v>
      </c>
      <c r="T85" s="1020">
        <f>E85*S85</f>
        <v>557.41842775819407</v>
      </c>
      <c r="U85" s="1196">
        <f>R86*E85</f>
        <v>518.01762726241407</v>
      </c>
      <c r="V85" s="273">
        <f t="shared" si="0"/>
        <v>0.95131300988858947</v>
      </c>
      <c r="W85" s="274">
        <f t="shared" si="1"/>
        <v>740.21665299431152</v>
      </c>
      <c r="X85" s="419"/>
      <c r="Y85" s="498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</row>
    <row r="86" spans="1:38" s="410" customFormat="1" ht="14.25" customHeight="1">
      <c r="A86" s="1006"/>
      <c r="B86" s="1009"/>
      <c r="C86" s="1438"/>
      <c r="D86" s="1588"/>
      <c r="E86" s="1189"/>
      <c r="F86" s="1020">
        <f>F85*J$13/1000</f>
        <v>3.4587600000000003E-2</v>
      </c>
      <c r="G86" s="1020"/>
      <c r="H86" s="1020"/>
      <c r="I86" s="1020">
        <f>I85*$Q$13/1000</f>
        <v>1.6049593800000005E-2</v>
      </c>
      <c r="J86" s="1020"/>
      <c r="K86" s="1020"/>
      <c r="L86" s="249" t="s">
        <v>189</v>
      </c>
      <c r="M86" s="250" t="s">
        <v>124</v>
      </c>
      <c r="N86" s="406">
        <v>1</v>
      </c>
      <c r="O86" s="252">
        <f>E85*N86</f>
        <v>778.1</v>
      </c>
      <c r="P86" s="236">
        <f>7.308/12.73</f>
        <v>0.57407698350353498</v>
      </c>
      <c r="Q86" s="253">
        <f>N86*P86*$N$11</f>
        <v>0.66162550312647317</v>
      </c>
      <c r="R86" s="1020">
        <f>SUM(Q86:Q87)</f>
        <v>0.66574685421207314</v>
      </c>
      <c r="S86" s="1020"/>
      <c r="T86" s="1020"/>
      <c r="U86" s="1196"/>
      <c r="V86" s="273">
        <f t="shared" si="0"/>
        <v>0</v>
      </c>
      <c r="W86" s="274">
        <f t="shared" si="1"/>
        <v>0</v>
      </c>
      <c r="X86" s="419"/>
      <c r="Y86" s="498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</row>
    <row r="87" spans="1:38" s="410" customFormat="1" ht="13.5" customHeight="1">
      <c r="A87" s="1007"/>
      <c r="B87" s="1010"/>
      <c r="C87" s="1438"/>
      <c r="D87" s="1588"/>
      <c r="E87" s="1189"/>
      <c r="F87" s="1020"/>
      <c r="G87" s="1020"/>
      <c r="H87" s="1020"/>
      <c r="I87" s="1020"/>
      <c r="J87" s="1020"/>
      <c r="K87" s="1020"/>
      <c r="L87" s="259" t="s">
        <v>190</v>
      </c>
      <c r="M87" s="260" t="s">
        <v>124</v>
      </c>
      <c r="N87" s="407">
        <v>4.0000000000000001E-3</v>
      </c>
      <c r="O87" s="237">
        <f>E85*N87</f>
        <v>3.1124000000000001</v>
      </c>
      <c r="P87" s="411">
        <v>0.89400000000000002</v>
      </c>
      <c r="Q87" s="412">
        <f t="shared" ref="Q87" si="4">N87*P87*$N$11</f>
        <v>4.1213510856000016E-3</v>
      </c>
      <c r="R87" s="1020"/>
      <c r="S87" s="1020"/>
      <c r="T87" s="1020"/>
      <c r="U87" s="1196"/>
      <c r="V87" s="273">
        <f t="shared" si="0"/>
        <v>0</v>
      </c>
      <c r="W87" s="274">
        <f t="shared" si="1"/>
        <v>0</v>
      </c>
      <c r="X87" s="419"/>
      <c r="Y87" s="498"/>
      <c r="Z87" s="409"/>
      <c r="AA87" s="409"/>
      <c r="AB87" s="409"/>
      <c r="AC87" s="409"/>
      <c r="AD87" s="409"/>
      <c r="AE87" s="409"/>
      <c r="AF87" s="409"/>
      <c r="AG87" s="409"/>
      <c r="AH87" s="409"/>
      <c r="AI87" s="409"/>
      <c r="AJ87" s="409"/>
      <c r="AK87" s="409"/>
      <c r="AL87" s="409"/>
    </row>
    <row r="88" spans="1:38" s="410" customFormat="1" ht="14.25" customHeight="1">
      <c r="A88" s="1005">
        <f>+A85+1</f>
        <v>23</v>
      </c>
      <c r="B88" s="1008" t="s">
        <v>188</v>
      </c>
      <c r="C88" s="1011" t="s">
        <v>205</v>
      </c>
      <c r="D88" s="1014" t="s">
        <v>199</v>
      </c>
      <c r="E88" s="1189">
        <f>1581.1+13.5</f>
        <v>1594.6</v>
      </c>
      <c r="F88" s="1190">
        <f>0.001*14.8</f>
        <v>1.4800000000000001E-2</v>
      </c>
      <c r="G88" s="1191"/>
      <c r="H88" s="1192"/>
      <c r="I88" s="1193">
        <f>0.001*4.98</f>
        <v>4.9800000000000009E-3</v>
      </c>
      <c r="J88" s="1194"/>
      <c r="K88" s="1195"/>
      <c r="L88" s="339"/>
      <c r="M88" s="177"/>
      <c r="N88" s="404"/>
      <c r="O88" s="545"/>
      <c r="P88" s="558"/>
      <c r="Q88" s="544"/>
      <c r="R88" s="548">
        <f>F89+I89</f>
        <v>5.0637193800000008E-2</v>
      </c>
      <c r="S88" s="1020">
        <f>R88+R89</f>
        <v>0.67732364538560008</v>
      </c>
      <c r="T88" s="1020">
        <f>E88*S88</f>
        <v>1080.0602849318777</v>
      </c>
      <c r="U88" s="1196">
        <f>R89*E88</f>
        <v>999.3142156983979</v>
      </c>
      <c r="V88" s="273">
        <f t="shared" si="0"/>
        <v>0.89944324911828266</v>
      </c>
      <c r="W88" s="274">
        <f t="shared" si="1"/>
        <v>1434.2522050440134</v>
      </c>
      <c r="X88" s="419"/>
      <c r="Y88" s="498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</row>
    <row r="89" spans="1:38" s="410" customFormat="1" ht="14.25" customHeight="1">
      <c r="A89" s="1006"/>
      <c r="B89" s="1009"/>
      <c r="C89" s="1012"/>
      <c r="D89" s="1015"/>
      <c r="E89" s="1189"/>
      <c r="F89" s="1020">
        <f>F88*J$13/1000</f>
        <v>3.4587600000000003E-2</v>
      </c>
      <c r="G89" s="1020"/>
      <c r="H89" s="1020"/>
      <c r="I89" s="1020">
        <f>I88*$Q$13/1000</f>
        <v>1.6049593800000005E-2</v>
      </c>
      <c r="J89" s="1020"/>
      <c r="K89" s="1020"/>
      <c r="L89" s="249" t="s">
        <v>189</v>
      </c>
      <c r="M89" s="250" t="s">
        <v>124</v>
      </c>
      <c r="N89" s="406">
        <v>1</v>
      </c>
      <c r="O89" s="252">
        <f>E88*N89</f>
        <v>1594.6</v>
      </c>
      <c r="P89" s="236">
        <f>2.917/5.4</f>
        <v>0.5401851851851851</v>
      </c>
      <c r="Q89" s="253">
        <f>N89*P89*$N$11</f>
        <v>0.62256510050000013</v>
      </c>
      <c r="R89" s="1020">
        <f>SUM(Q89:Q90)</f>
        <v>0.6266864515856001</v>
      </c>
      <c r="S89" s="1020"/>
      <c r="T89" s="1020"/>
      <c r="U89" s="1196"/>
      <c r="V89" s="273">
        <f t="shared" si="0"/>
        <v>0</v>
      </c>
      <c r="W89" s="274">
        <f t="shared" si="1"/>
        <v>0</v>
      </c>
      <c r="X89" s="419"/>
      <c r="Y89" s="498"/>
      <c r="Z89" s="409"/>
      <c r="AA89" s="409"/>
      <c r="AB89" s="409"/>
      <c r="AC89" s="409"/>
      <c r="AD89" s="409"/>
      <c r="AE89" s="409"/>
      <c r="AF89" s="409"/>
      <c r="AG89" s="409"/>
      <c r="AH89" s="409"/>
      <c r="AI89" s="409"/>
      <c r="AJ89" s="409"/>
      <c r="AK89" s="409"/>
      <c r="AL89" s="409"/>
    </row>
    <row r="90" spans="1:38" s="410" customFormat="1" ht="13.5" customHeight="1">
      <c r="A90" s="1007"/>
      <c r="B90" s="1010"/>
      <c r="C90" s="1013"/>
      <c r="D90" s="1016"/>
      <c r="E90" s="1189"/>
      <c r="F90" s="1020"/>
      <c r="G90" s="1020"/>
      <c r="H90" s="1020"/>
      <c r="I90" s="1020"/>
      <c r="J90" s="1020"/>
      <c r="K90" s="1020"/>
      <c r="L90" s="259" t="s">
        <v>190</v>
      </c>
      <c r="M90" s="260" t="s">
        <v>124</v>
      </c>
      <c r="N90" s="407">
        <v>4.0000000000000001E-3</v>
      </c>
      <c r="O90" s="237">
        <f>E88*N90</f>
        <v>6.3784000000000001</v>
      </c>
      <c r="P90" s="411">
        <v>0.89400000000000002</v>
      </c>
      <c r="Q90" s="412">
        <f t="shared" ref="Q90" si="5">N90*P90*$N$11</f>
        <v>4.1213510856000016E-3</v>
      </c>
      <c r="R90" s="1020"/>
      <c r="S90" s="1020"/>
      <c r="T90" s="1020"/>
      <c r="U90" s="1196"/>
      <c r="V90" s="273">
        <f t="shared" si="0"/>
        <v>0</v>
      </c>
      <c r="W90" s="274">
        <f t="shared" si="1"/>
        <v>0</v>
      </c>
      <c r="X90" s="419"/>
      <c r="Y90" s="498"/>
      <c r="Z90" s="409"/>
      <c r="AA90" s="409"/>
      <c r="AB90" s="409"/>
      <c r="AC90" s="409"/>
      <c r="AD90" s="409"/>
      <c r="AE90" s="409"/>
      <c r="AF90" s="409"/>
      <c r="AG90" s="409"/>
      <c r="AH90" s="409"/>
      <c r="AI90" s="409"/>
      <c r="AJ90" s="409"/>
      <c r="AK90" s="409"/>
      <c r="AL90" s="409"/>
    </row>
    <row r="91" spans="1:38" s="423" customFormat="1" ht="14.25" customHeight="1">
      <c r="A91" s="1005">
        <f>+A88+1</f>
        <v>24</v>
      </c>
      <c r="B91" s="1008" t="s">
        <v>188</v>
      </c>
      <c r="C91" s="1114" t="s">
        <v>220</v>
      </c>
      <c r="D91" s="1014" t="s">
        <v>199</v>
      </c>
      <c r="E91" s="1550">
        <v>80.400000000000006</v>
      </c>
      <c r="F91" s="1190">
        <f>0.001*14.8</f>
        <v>1.4800000000000001E-2</v>
      </c>
      <c r="G91" s="1191"/>
      <c r="H91" s="1192"/>
      <c r="I91" s="1553">
        <f>0.001*4.98</f>
        <v>4.9800000000000009E-3</v>
      </c>
      <c r="J91" s="1554"/>
      <c r="K91" s="1555"/>
      <c r="L91" s="339"/>
      <c r="M91" s="177"/>
      <c r="N91" s="404"/>
      <c r="O91" s="545"/>
      <c r="P91" s="545"/>
      <c r="Q91" s="544"/>
      <c r="R91" s="548">
        <f>F92+I92</f>
        <v>5.0637193800000008E-2</v>
      </c>
      <c r="S91" s="1020">
        <f>R91+R92</f>
        <v>0.80938991469120014</v>
      </c>
      <c r="T91" s="1020">
        <f>E91*S91</f>
        <v>65.074949141172496</v>
      </c>
      <c r="U91" s="1196">
        <f>R92*E91</f>
        <v>61.0037187596525</v>
      </c>
      <c r="V91" s="273">
        <f t="shared" si="0"/>
        <v>1.074818957869059</v>
      </c>
      <c r="W91" s="274">
        <f t="shared" si="1"/>
        <v>86.415444212672355</v>
      </c>
      <c r="X91" s="419"/>
      <c r="Y91" s="421"/>
      <c r="Z91" s="422"/>
      <c r="AA91" s="422"/>
      <c r="AB91" s="422"/>
      <c r="AC91" s="422"/>
      <c r="AD91" s="422"/>
      <c r="AE91" s="422"/>
      <c r="AF91" s="422"/>
      <c r="AG91" s="422"/>
      <c r="AH91" s="422"/>
      <c r="AI91" s="422"/>
      <c r="AJ91" s="422"/>
      <c r="AK91" s="422"/>
      <c r="AL91" s="422"/>
    </row>
    <row r="92" spans="1:38" s="423" customFormat="1" ht="13.5" customHeight="1">
      <c r="A92" s="1006"/>
      <c r="B92" s="1009"/>
      <c r="C92" s="1549"/>
      <c r="D92" s="1015"/>
      <c r="E92" s="1551"/>
      <c r="F92" s="1020">
        <f>F91*J$13/1000</f>
        <v>3.4587600000000003E-2</v>
      </c>
      <c r="G92" s="1020"/>
      <c r="H92" s="1020"/>
      <c r="I92" s="1020">
        <f>I91*$Q$13/1000</f>
        <v>1.6049593800000005E-2</v>
      </c>
      <c r="J92" s="1020"/>
      <c r="K92" s="1020"/>
      <c r="L92" s="249" t="s">
        <v>208</v>
      </c>
      <c r="M92" s="250" t="s">
        <v>124</v>
      </c>
      <c r="N92" s="406">
        <v>1</v>
      </c>
      <c r="O92" s="252">
        <f>E91*N92</f>
        <v>80.400000000000006</v>
      </c>
      <c r="P92" s="236">
        <v>0.65</v>
      </c>
      <c r="Q92" s="253">
        <f>N92*P92*$N$11</f>
        <v>0.74912701500000023</v>
      </c>
      <c r="R92" s="1020">
        <f>SUM(Q92:Q94)</f>
        <v>0.75875272089120016</v>
      </c>
      <c r="S92" s="1020"/>
      <c r="T92" s="1020"/>
      <c r="U92" s="1196"/>
      <c r="V92" s="273">
        <f t="shared" si="0"/>
        <v>0</v>
      </c>
      <c r="W92" s="274">
        <f t="shared" si="1"/>
        <v>0</v>
      </c>
      <c r="X92" s="419"/>
      <c r="Y92" s="421"/>
      <c r="Z92" s="422"/>
      <c r="AA92" s="422"/>
      <c r="AB92" s="422"/>
      <c r="AC92" s="422"/>
      <c r="AD92" s="422"/>
      <c r="AE92" s="422"/>
      <c r="AF92" s="422"/>
      <c r="AG92" s="422"/>
      <c r="AH92" s="422"/>
      <c r="AI92" s="422"/>
      <c r="AJ92" s="422"/>
      <c r="AK92" s="422"/>
      <c r="AL92" s="422"/>
    </row>
    <row r="93" spans="1:38" s="423" customFormat="1" ht="13.5" customHeight="1">
      <c r="A93" s="1006"/>
      <c r="B93" s="1009"/>
      <c r="C93" s="1549"/>
      <c r="D93" s="1015"/>
      <c r="E93" s="1551"/>
      <c r="F93" s="1020"/>
      <c r="G93" s="1020"/>
      <c r="H93" s="1020"/>
      <c r="I93" s="1020"/>
      <c r="J93" s="1020"/>
      <c r="K93" s="1020"/>
      <c r="L93" s="259" t="s">
        <v>190</v>
      </c>
      <c r="M93" s="260" t="s">
        <v>124</v>
      </c>
      <c r="N93" s="407">
        <v>4.0000000000000001E-3</v>
      </c>
      <c r="O93" s="261">
        <f>E91*N93</f>
        <v>0.32160000000000005</v>
      </c>
      <c r="P93" s="237">
        <v>0.89400000000000002</v>
      </c>
      <c r="Q93" s="412">
        <f t="shared" ref="Q93:Q94" si="6">N93*P93*$N$11</f>
        <v>4.1213510856000016E-3</v>
      </c>
      <c r="R93" s="1020"/>
      <c r="S93" s="1020"/>
      <c r="T93" s="1020"/>
      <c r="U93" s="1196"/>
      <c r="V93" s="273">
        <f t="shared" si="0"/>
        <v>0</v>
      </c>
      <c r="W93" s="274">
        <f t="shared" si="1"/>
        <v>0</v>
      </c>
      <c r="X93" s="419"/>
      <c r="Y93" s="421"/>
      <c r="Z93" s="422"/>
      <c r="AA93" s="422"/>
      <c r="AB93" s="422"/>
      <c r="AC93" s="422"/>
      <c r="AD93" s="422"/>
      <c r="AE93" s="422"/>
      <c r="AF93" s="422"/>
      <c r="AG93" s="422"/>
      <c r="AH93" s="422"/>
      <c r="AI93" s="422"/>
      <c r="AJ93" s="422"/>
      <c r="AK93" s="422"/>
      <c r="AL93" s="422"/>
    </row>
    <row r="94" spans="1:38" s="423" customFormat="1" ht="13.5" customHeight="1">
      <c r="A94" s="1007"/>
      <c r="B94" s="1010"/>
      <c r="C94" s="1115"/>
      <c r="D94" s="1016"/>
      <c r="E94" s="1552"/>
      <c r="F94" s="1020"/>
      <c r="G94" s="1020"/>
      <c r="H94" s="1020"/>
      <c r="I94" s="1020"/>
      <c r="J94" s="1020"/>
      <c r="K94" s="1020"/>
      <c r="L94" s="263" t="s">
        <v>209</v>
      </c>
      <c r="M94" s="254" t="s">
        <v>124</v>
      </c>
      <c r="N94" s="408">
        <v>4.0000000000000001E-3</v>
      </c>
      <c r="O94" s="256">
        <f>E91*N94</f>
        <v>0.32160000000000005</v>
      </c>
      <c r="P94" s="411">
        <v>1.194</v>
      </c>
      <c r="Q94" s="258">
        <f t="shared" si="6"/>
        <v>5.5043548056000011E-3</v>
      </c>
      <c r="R94" s="1020"/>
      <c r="S94" s="1020"/>
      <c r="T94" s="1020"/>
      <c r="U94" s="1196"/>
      <c r="V94" s="273">
        <f t="shared" si="0"/>
        <v>0</v>
      </c>
      <c r="W94" s="274">
        <f t="shared" si="1"/>
        <v>0</v>
      </c>
      <c r="X94" s="419"/>
      <c r="Y94" s="421"/>
      <c r="Z94" s="422"/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22"/>
      <c r="AL94" s="422"/>
    </row>
    <row r="95" spans="1:38" s="363" customFormat="1" ht="12.75" customHeight="1">
      <c r="A95" s="1005">
        <f>+A91+1</f>
        <v>25</v>
      </c>
      <c r="B95" s="1217" t="s">
        <v>127</v>
      </c>
      <c r="C95" s="1548" t="s">
        <v>306</v>
      </c>
      <c r="D95" s="1014" t="s">
        <v>195</v>
      </c>
      <c r="E95" s="1199">
        <v>357.4</v>
      </c>
      <c r="F95" s="1193">
        <f>4.1/100</f>
        <v>4.0999999999999995E-2</v>
      </c>
      <c r="G95" s="1194"/>
      <c r="H95" s="1195"/>
      <c r="I95" s="1193">
        <f>0.4/100</f>
        <v>4.0000000000000001E-3</v>
      </c>
      <c r="J95" s="1194"/>
      <c r="K95" s="1195"/>
      <c r="L95" s="266"/>
      <c r="M95" s="177"/>
      <c r="N95" s="545"/>
      <c r="O95" s="545"/>
      <c r="P95" s="545"/>
      <c r="Q95" s="544"/>
      <c r="R95" s="549">
        <f>F96+I96</f>
        <v>0.10870824</v>
      </c>
      <c r="S95" s="987">
        <f>R95+R96</f>
        <v>0.19148698858400004</v>
      </c>
      <c r="T95" s="987">
        <f>E95*S95</f>
        <v>68.437449719921617</v>
      </c>
      <c r="U95" s="1270">
        <f>R96*E95</f>
        <v>29.585124743921607</v>
      </c>
      <c r="V95" s="273">
        <f t="shared" si="0"/>
        <v>0.2542826909251294</v>
      </c>
      <c r="W95" s="274">
        <f t="shared" si="1"/>
        <v>90.880633736641244</v>
      </c>
      <c r="X95" s="419"/>
      <c r="Y95" s="499"/>
    </row>
    <row r="96" spans="1:38" s="363" customFormat="1" ht="12.75" customHeight="1">
      <c r="A96" s="1006"/>
      <c r="B96" s="1217"/>
      <c r="C96" s="1548"/>
      <c r="D96" s="1015"/>
      <c r="E96" s="1287"/>
      <c r="F96" s="1164">
        <f>F95*J$13/1000</f>
        <v>9.5816999999999999E-2</v>
      </c>
      <c r="G96" s="1520"/>
      <c r="H96" s="1166"/>
      <c r="I96" s="1164">
        <f>I95*$Q$13/1000</f>
        <v>1.289124E-2</v>
      </c>
      <c r="J96" s="1520"/>
      <c r="K96" s="1166"/>
      <c r="L96" s="342" t="s">
        <v>128</v>
      </c>
      <c r="M96" s="250" t="s">
        <v>124</v>
      </c>
      <c r="N96" s="265">
        <v>0.03</v>
      </c>
      <c r="O96" s="340">
        <f>E95*N96</f>
        <v>10.722</v>
      </c>
      <c r="P96" s="341">
        <f>0.542*2</f>
        <v>1.0840000000000001</v>
      </c>
      <c r="Q96" s="233">
        <f>N96*P96*$N$11</f>
        <v>3.7479400812000012E-2</v>
      </c>
      <c r="R96" s="987">
        <f>SUM(Q96:Q97)</f>
        <v>8.2778748584000028E-2</v>
      </c>
      <c r="S96" s="988"/>
      <c r="T96" s="988"/>
      <c r="U96" s="1270"/>
      <c r="V96" s="273">
        <f t="shared" si="0"/>
        <v>0</v>
      </c>
      <c r="W96" s="274">
        <f t="shared" si="1"/>
        <v>0</v>
      </c>
      <c r="X96" s="419"/>
      <c r="Y96" s="499"/>
    </row>
    <row r="97" spans="1:39" s="363" customFormat="1" ht="12">
      <c r="A97" s="1007"/>
      <c r="B97" s="1217"/>
      <c r="C97" s="1548"/>
      <c r="D97" s="1016"/>
      <c r="E97" s="1200"/>
      <c r="F97" s="1225"/>
      <c r="G97" s="1226"/>
      <c r="H97" s="1167"/>
      <c r="I97" s="1225"/>
      <c r="J97" s="1226"/>
      <c r="K97" s="1167"/>
      <c r="L97" s="343" t="s">
        <v>129</v>
      </c>
      <c r="M97" s="254" t="s">
        <v>124</v>
      </c>
      <c r="N97" s="255">
        <f>17.2/100</f>
        <v>0.17199999999999999</v>
      </c>
      <c r="O97" s="256">
        <f>E95*N97</f>
        <v>61.472799999999992</v>
      </c>
      <c r="P97" s="355">
        <f>0.617/2.7</f>
        <v>0.22851851851851851</v>
      </c>
      <c r="Q97" s="344">
        <f>N97*P97*$N$11</f>
        <v>4.5299347772000009E-2</v>
      </c>
      <c r="R97" s="989"/>
      <c r="S97" s="989"/>
      <c r="T97" s="989"/>
      <c r="U97" s="1270"/>
      <c r="V97" s="273">
        <f t="shared" si="0"/>
        <v>0</v>
      </c>
      <c r="W97" s="274">
        <f t="shared" si="1"/>
        <v>0</v>
      </c>
      <c r="X97" s="419"/>
      <c r="Y97" s="499"/>
    </row>
    <row r="98" spans="1:39" s="363" customFormat="1" ht="12.75" customHeight="1">
      <c r="A98" s="1291">
        <f>+A95+1</f>
        <v>26</v>
      </c>
      <c r="B98" s="1008" t="s">
        <v>147</v>
      </c>
      <c r="C98" s="1296" t="s">
        <v>307</v>
      </c>
      <c r="D98" s="1014" t="s">
        <v>195</v>
      </c>
      <c r="E98" s="1199">
        <f>+E95</f>
        <v>357.4</v>
      </c>
      <c r="F98" s="1193">
        <f>21.4/100</f>
        <v>0.214</v>
      </c>
      <c r="G98" s="1194"/>
      <c r="H98" s="1195"/>
      <c r="I98" s="1201">
        <f>0.03/100</f>
        <v>2.9999999999999997E-4</v>
      </c>
      <c r="J98" s="1202"/>
      <c r="K98" s="1203"/>
      <c r="L98" s="266"/>
      <c r="M98" s="177"/>
      <c r="N98" s="545"/>
      <c r="O98" s="545"/>
      <c r="P98" s="545"/>
      <c r="Q98" s="544"/>
      <c r="R98" s="549">
        <f>F99+I99</f>
        <v>0.501084843</v>
      </c>
      <c r="S98" s="987">
        <f>R98+R99</f>
        <v>0.89437652587500016</v>
      </c>
      <c r="T98" s="987">
        <f>E98*S98</f>
        <v>319.65017034772501</v>
      </c>
      <c r="U98" s="1270">
        <f>R99*E98</f>
        <v>140.56244745952506</v>
      </c>
      <c r="V98" s="273">
        <f t="shared" si="0"/>
        <v>1.1876758383507549</v>
      </c>
      <c r="W98" s="274">
        <f t="shared" si="1"/>
        <v>424.47534462655977</v>
      </c>
      <c r="X98" s="419"/>
    </row>
    <row r="99" spans="1:39" s="363" customFormat="1" ht="16.5" customHeight="1">
      <c r="A99" s="1292"/>
      <c r="B99" s="1010"/>
      <c r="C99" s="1297"/>
      <c r="D99" s="1016"/>
      <c r="E99" s="1200"/>
      <c r="F99" s="993">
        <f>F98*J$13/1000</f>
        <v>0.50011799999999995</v>
      </c>
      <c r="G99" s="994"/>
      <c r="H99" s="995"/>
      <c r="I99" s="1201">
        <f>I98*$Q$13/1000</f>
        <v>9.6684299999999989E-4</v>
      </c>
      <c r="J99" s="1202"/>
      <c r="K99" s="1203"/>
      <c r="L99" s="357" t="s">
        <v>130</v>
      </c>
      <c r="M99" s="243" t="s">
        <v>124</v>
      </c>
      <c r="N99" s="240">
        <f>27.3/100</f>
        <v>0.27300000000000002</v>
      </c>
      <c r="O99" s="340">
        <f>E98*N99</f>
        <v>97.5702</v>
      </c>
      <c r="P99" s="240">
        <v>1.25</v>
      </c>
      <c r="Q99" s="245">
        <f>N99*P99*$N$11</f>
        <v>0.39329168287500016</v>
      </c>
      <c r="R99" s="546">
        <f>SUM(Q99:Q99)</f>
        <v>0.39329168287500016</v>
      </c>
      <c r="S99" s="989"/>
      <c r="T99" s="989"/>
      <c r="U99" s="1270"/>
      <c r="V99" s="273">
        <f t="shared" si="0"/>
        <v>0</v>
      </c>
      <c r="W99" s="274">
        <f t="shared" si="1"/>
        <v>0</v>
      </c>
      <c r="X99" s="419"/>
    </row>
    <row r="100" spans="1:39" s="335" customFormat="1" ht="13.5" customHeight="1">
      <c r="A100" s="1005">
        <f>1+A98</f>
        <v>27</v>
      </c>
      <c r="B100" s="1008" t="s">
        <v>237</v>
      </c>
      <c r="C100" s="1114" t="s">
        <v>308</v>
      </c>
      <c r="D100" s="1542" t="s">
        <v>194</v>
      </c>
      <c r="E100" s="1055">
        <v>257</v>
      </c>
      <c r="F100" s="993">
        <v>0.31</v>
      </c>
      <c r="G100" s="994"/>
      <c r="H100" s="995"/>
      <c r="I100" s="993">
        <v>0.2</v>
      </c>
      <c r="J100" s="994"/>
      <c r="K100" s="995"/>
      <c r="L100" s="267"/>
      <c r="M100" s="177"/>
      <c r="N100" s="545"/>
      <c r="O100" s="545"/>
      <c r="P100" s="268"/>
      <c r="Q100" s="551"/>
      <c r="R100" s="549">
        <f>F101+I101</f>
        <v>1.369032</v>
      </c>
      <c r="S100" s="987">
        <f>R100+R101</f>
        <v>12.736170075300004</v>
      </c>
      <c r="T100" s="987">
        <f>E100*S100</f>
        <v>3273.1957093521009</v>
      </c>
      <c r="U100" s="1017">
        <f>E100*R101</f>
        <v>2921.3544853521007</v>
      </c>
      <c r="V100" s="273">
        <f t="shared" si="0"/>
        <v>16.912833727116212</v>
      </c>
      <c r="W100" s="274">
        <f t="shared" si="1"/>
        <v>4346.5982678688661</v>
      </c>
      <c r="X100" s="419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</row>
    <row r="101" spans="1:39" s="335" customFormat="1" ht="13.5" customHeight="1">
      <c r="A101" s="1007"/>
      <c r="B101" s="1010"/>
      <c r="C101" s="1115"/>
      <c r="D101" s="1542"/>
      <c r="E101" s="1056"/>
      <c r="F101" s="993">
        <f>F100*$J$13/1000</f>
        <v>0.72447000000000006</v>
      </c>
      <c r="G101" s="994"/>
      <c r="H101" s="995"/>
      <c r="I101" s="993">
        <f>I100*$Q$13/1000</f>
        <v>0.64456199999999997</v>
      </c>
      <c r="J101" s="994"/>
      <c r="K101" s="995"/>
      <c r="L101" s="248" t="s">
        <v>238</v>
      </c>
      <c r="M101" s="243" t="s">
        <v>116</v>
      </c>
      <c r="N101" s="244">
        <v>1</v>
      </c>
      <c r="O101" s="247">
        <f>E100*N101</f>
        <v>257</v>
      </c>
      <c r="P101" s="240">
        <v>9.8629999999999995</v>
      </c>
      <c r="Q101" s="245">
        <f>N101*P101*$N$11</f>
        <v>11.367138075300003</v>
      </c>
      <c r="R101" s="546">
        <f>SUM(Q101:Q101)</f>
        <v>11.367138075300003</v>
      </c>
      <c r="S101" s="989"/>
      <c r="T101" s="989"/>
      <c r="U101" s="1019"/>
      <c r="V101" s="273">
        <f t="shared" si="0"/>
        <v>0</v>
      </c>
      <c r="W101" s="274">
        <f t="shared" si="1"/>
        <v>0</v>
      </c>
      <c r="X101" s="419"/>
      <c r="Z101" s="405"/>
      <c r="AA101" s="405"/>
      <c r="AB101" s="405"/>
      <c r="AC101" s="405"/>
      <c r="AD101" s="405"/>
      <c r="AE101" s="405"/>
      <c r="AF101" s="405"/>
      <c r="AG101" s="405"/>
      <c r="AH101" s="470"/>
      <c r="AI101" s="470"/>
      <c r="AJ101" s="470"/>
      <c r="AK101" s="470"/>
      <c r="AL101" s="470"/>
    </row>
    <row r="102" spans="1:39" s="335" customFormat="1" ht="13.5" customHeight="1">
      <c r="A102" s="1005">
        <f>1+A100</f>
        <v>28</v>
      </c>
      <c r="B102" s="1008" t="s">
        <v>163</v>
      </c>
      <c r="C102" s="1547" t="s">
        <v>309</v>
      </c>
      <c r="D102" s="1542" t="s">
        <v>194</v>
      </c>
      <c r="E102" s="1055">
        <v>459</v>
      </c>
      <c r="F102" s="993">
        <v>0.27</v>
      </c>
      <c r="G102" s="994"/>
      <c r="H102" s="995"/>
      <c r="I102" s="993">
        <v>0.17</v>
      </c>
      <c r="J102" s="994"/>
      <c r="K102" s="995"/>
      <c r="L102" s="267"/>
      <c r="M102" s="177"/>
      <c r="N102" s="545"/>
      <c r="O102" s="545"/>
      <c r="P102" s="268"/>
      <c r="Q102" s="551"/>
      <c r="R102" s="549">
        <f>F103+I103</f>
        <v>1.1788677000000001</v>
      </c>
      <c r="S102" s="987">
        <f>R102+R103</f>
        <v>7.6132925073000024</v>
      </c>
      <c r="T102" s="987">
        <f>E102*S102</f>
        <v>3494.5012608507013</v>
      </c>
      <c r="U102" s="1017">
        <f>E102*R103</f>
        <v>2953.400986550701</v>
      </c>
      <c r="V102" s="273">
        <f t="shared" si="0"/>
        <v>10.109974154756378</v>
      </c>
      <c r="W102" s="274">
        <f t="shared" si="1"/>
        <v>4640.4781370331775</v>
      </c>
      <c r="X102" s="419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</row>
    <row r="103" spans="1:39" s="335" customFormat="1" ht="13.5" customHeight="1">
      <c r="A103" s="1007"/>
      <c r="B103" s="1010"/>
      <c r="C103" s="1547"/>
      <c r="D103" s="1542"/>
      <c r="E103" s="1056"/>
      <c r="F103" s="993">
        <f>F102*$J$13/1000</f>
        <v>0.63099000000000005</v>
      </c>
      <c r="G103" s="994"/>
      <c r="H103" s="995"/>
      <c r="I103" s="993">
        <f>I102*$Q$13/1000</f>
        <v>0.54787770000000002</v>
      </c>
      <c r="J103" s="994"/>
      <c r="K103" s="995"/>
      <c r="L103" s="248" t="s">
        <v>268</v>
      </c>
      <c r="M103" s="243" t="s">
        <v>116</v>
      </c>
      <c r="N103" s="244">
        <v>1</v>
      </c>
      <c r="O103" s="247">
        <f>E102*N103</f>
        <v>459</v>
      </c>
      <c r="P103" s="240">
        <v>5.5830000000000002</v>
      </c>
      <c r="Q103" s="245">
        <f>N103*P103*$N$11</f>
        <v>6.4344248073000019</v>
      </c>
      <c r="R103" s="546">
        <f>SUM(Q103:Q103)</f>
        <v>6.4344248073000019</v>
      </c>
      <c r="S103" s="989"/>
      <c r="T103" s="989"/>
      <c r="U103" s="1019"/>
      <c r="V103" s="273">
        <f t="shared" si="0"/>
        <v>0</v>
      </c>
      <c r="W103" s="274">
        <f t="shared" si="1"/>
        <v>0</v>
      </c>
      <c r="X103" s="419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</row>
    <row r="104" spans="1:39" s="421" customFormat="1" ht="13.5" customHeight="1">
      <c r="A104" s="1291">
        <f>+A102+1</f>
        <v>29</v>
      </c>
      <c r="B104" s="1008" t="s">
        <v>148</v>
      </c>
      <c r="C104" s="1053" t="s">
        <v>198</v>
      </c>
      <c r="D104" s="1014" t="s">
        <v>199</v>
      </c>
      <c r="E104" s="1199">
        <f>2.7+16.8+100.8+0.9</f>
        <v>121.2</v>
      </c>
      <c r="F104" s="1293">
        <f>0.001*190</f>
        <v>0.19</v>
      </c>
      <c r="G104" s="1544"/>
      <c r="H104" s="1295"/>
      <c r="I104" s="1293">
        <f>0.001*162</f>
        <v>0.16200000000000001</v>
      </c>
      <c r="J104" s="1544"/>
      <c r="K104" s="1295"/>
      <c r="L104" s="336"/>
      <c r="M104" s="177"/>
      <c r="N104" s="545"/>
      <c r="O104" s="545"/>
      <c r="P104" s="545"/>
      <c r="Q104" s="544"/>
      <c r="R104" s="549">
        <f>F105+I105</f>
        <v>0.96612522000000012</v>
      </c>
      <c r="S104" s="987">
        <f>R104+R105</f>
        <v>2.3491289400000004</v>
      </c>
      <c r="T104" s="987">
        <f>E104*S104</f>
        <v>284.71442752800004</v>
      </c>
      <c r="U104" s="1112">
        <f>R105*E104</f>
        <v>167.62005086400004</v>
      </c>
      <c r="V104" s="273">
        <f t="shared" si="0"/>
        <v>3.1194956514304324</v>
      </c>
      <c r="W104" s="274">
        <f t="shared" si="1"/>
        <v>378.08287295336839</v>
      </c>
      <c r="X104" s="419"/>
      <c r="Y104" s="500"/>
    </row>
    <row r="105" spans="1:39" s="421" customFormat="1" ht="13.5" customHeight="1">
      <c r="A105" s="1292"/>
      <c r="B105" s="1010"/>
      <c r="C105" s="1054"/>
      <c r="D105" s="1016"/>
      <c r="E105" s="1200"/>
      <c r="F105" s="993">
        <f>F104*J$13/1000</f>
        <v>0.44403000000000004</v>
      </c>
      <c r="G105" s="994"/>
      <c r="H105" s="995"/>
      <c r="I105" s="993">
        <f>I104*$Q$13/1000</f>
        <v>0.52209522000000008</v>
      </c>
      <c r="J105" s="994"/>
      <c r="K105" s="995"/>
      <c r="L105" s="337" t="s">
        <v>149</v>
      </c>
      <c r="M105" s="243" t="s">
        <v>124</v>
      </c>
      <c r="N105" s="338">
        <v>1</v>
      </c>
      <c r="O105" s="247">
        <f>E104*N105</f>
        <v>121.2</v>
      </c>
      <c r="P105" s="240">
        <v>1.2</v>
      </c>
      <c r="Q105" s="245">
        <f>N105*P105*$N$11</f>
        <v>1.3830037200000003</v>
      </c>
      <c r="R105" s="549">
        <f>SUM(Q105:Q105)</f>
        <v>1.3830037200000003</v>
      </c>
      <c r="S105" s="989"/>
      <c r="T105" s="989"/>
      <c r="U105" s="1113"/>
      <c r="V105" s="273">
        <f t="shared" si="0"/>
        <v>0</v>
      </c>
      <c r="W105" s="274">
        <f t="shared" si="1"/>
        <v>0</v>
      </c>
      <c r="X105" s="419"/>
      <c r="Y105" s="500"/>
    </row>
    <row r="106" spans="1:39" s="503" customFormat="1" ht="13.5" customHeight="1">
      <c r="A106" s="1539">
        <f>+A104+1</f>
        <v>30</v>
      </c>
      <c r="B106" s="1540" t="s">
        <v>263</v>
      </c>
      <c r="C106" s="1541" t="s">
        <v>310</v>
      </c>
      <c r="D106" s="1542" t="s">
        <v>197</v>
      </c>
      <c r="E106" s="1543">
        <v>1</v>
      </c>
      <c r="F106" s="1027">
        <f>0.6*0.31*11</f>
        <v>2.0459999999999998</v>
      </c>
      <c r="G106" s="1027"/>
      <c r="H106" s="1027"/>
      <c r="I106" s="1027">
        <f>0.6*0.2*11</f>
        <v>1.3199999999999998</v>
      </c>
      <c r="J106" s="1027"/>
      <c r="K106" s="1027"/>
      <c r="L106" s="266"/>
      <c r="M106" s="177"/>
      <c r="N106" s="545"/>
      <c r="O106" s="545"/>
      <c r="P106" s="545"/>
      <c r="Q106" s="544"/>
      <c r="R106" s="548">
        <f>F107+I107</f>
        <v>9.0356111999999982</v>
      </c>
      <c r="S106" s="1020">
        <f>R106+R107</f>
        <v>10.897934689673136</v>
      </c>
      <c r="T106" s="1020">
        <f>E106*S106</f>
        <v>10.897934689673136</v>
      </c>
      <c r="U106" s="1020">
        <f>R107*E106</f>
        <v>1.8623234896731367</v>
      </c>
      <c r="V106" s="273">
        <f t="shared" si="0"/>
        <v>14.471772619687789</v>
      </c>
      <c r="W106" s="274">
        <f t="shared" si="1"/>
        <v>14.471772619687789</v>
      </c>
      <c r="X106" s="419"/>
      <c r="Y106" s="501"/>
      <c r="Z106" s="502"/>
      <c r="AA106" s="502"/>
      <c r="AB106" s="502"/>
      <c r="AC106" s="502"/>
      <c r="AD106" s="502"/>
      <c r="AE106" s="502"/>
      <c r="AF106" s="502"/>
      <c r="AG106" s="502"/>
      <c r="AH106" s="502"/>
      <c r="AI106" s="502"/>
      <c r="AJ106" s="502"/>
      <c r="AK106" s="502"/>
      <c r="AL106" s="502"/>
    </row>
    <row r="107" spans="1:39" s="503" customFormat="1" ht="13.5" customHeight="1">
      <c r="A107" s="1539"/>
      <c r="B107" s="1540"/>
      <c r="C107" s="1541"/>
      <c r="D107" s="1542"/>
      <c r="E107" s="1543"/>
      <c r="F107" s="1020">
        <f>F106*J$13/1000</f>
        <v>4.7815019999999997</v>
      </c>
      <c r="G107" s="1020"/>
      <c r="H107" s="1020"/>
      <c r="I107" s="1020">
        <f>I106*$Q$13/1000</f>
        <v>4.2541091999999994</v>
      </c>
      <c r="J107" s="1020"/>
      <c r="K107" s="1020"/>
      <c r="L107" s="342" t="s">
        <v>239</v>
      </c>
      <c r="M107" s="250" t="s">
        <v>184</v>
      </c>
      <c r="N107" s="265">
        <f>0.49*0.138</f>
        <v>6.762E-2</v>
      </c>
      <c r="O107" s="340">
        <f>E106*N107</f>
        <v>6.762E-2</v>
      </c>
      <c r="P107" s="236">
        <v>0.45800000000000002</v>
      </c>
      <c r="Q107" s="233">
        <f>N107*P107*$N$11</f>
        <v>3.5692974906876014E-2</v>
      </c>
      <c r="R107" s="1020">
        <f>SUM(Q107:Q108)</f>
        <v>1.8623234896731367</v>
      </c>
      <c r="S107" s="1020"/>
      <c r="T107" s="1020"/>
      <c r="U107" s="1020"/>
      <c r="V107" s="273">
        <f t="shared" si="0"/>
        <v>0</v>
      </c>
      <c r="W107" s="274">
        <f t="shared" si="1"/>
        <v>0</v>
      </c>
      <c r="X107" s="419"/>
      <c r="Y107" s="501"/>
      <c r="Z107" s="502"/>
      <c r="AA107" s="502"/>
      <c r="AB107" s="502"/>
      <c r="AC107" s="502"/>
      <c r="AD107" s="502"/>
      <c r="AE107" s="502"/>
      <c r="AF107" s="502"/>
      <c r="AG107" s="502"/>
      <c r="AH107" s="502"/>
      <c r="AI107" s="502"/>
      <c r="AJ107" s="502"/>
      <c r="AK107" s="502"/>
      <c r="AL107" s="502"/>
    </row>
    <row r="108" spans="1:39" s="503" customFormat="1" ht="13.5" customHeight="1">
      <c r="A108" s="1539"/>
      <c r="B108" s="1540"/>
      <c r="C108" s="1541"/>
      <c r="D108" s="1542"/>
      <c r="E108" s="1543"/>
      <c r="F108" s="1020"/>
      <c r="G108" s="1020"/>
      <c r="H108" s="1020"/>
      <c r="I108" s="1020"/>
      <c r="J108" s="1020"/>
      <c r="K108" s="1020"/>
      <c r="L108" s="343" t="s">
        <v>264</v>
      </c>
      <c r="M108" s="254" t="s">
        <v>265</v>
      </c>
      <c r="N108" s="255">
        <f>0.49*17.39</f>
        <v>8.5211000000000006</v>
      </c>
      <c r="O108" s="256">
        <f>E106*N108</f>
        <v>8.5211000000000006</v>
      </c>
      <c r="P108" s="355">
        <v>0.186</v>
      </c>
      <c r="Q108" s="344">
        <f>N108*P108*$N$11</f>
        <v>1.8266305147662607</v>
      </c>
      <c r="R108" s="1020"/>
      <c r="S108" s="1020"/>
      <c r="T108" s="1020"/>
      <c r="U108" s="1020"/>
      <c r="V108" s="273">
        <f t="shared" si="0"/>
        <v>0</v>
      </c>
      <c r="W108" s="274">
        <f t="shared" si="1"/>
        <v>0</v>
      </c>
      <c r="X108" s="419"/>
      <c r="Y108" s="501"/>
      <c r="Z108" s="502"/>
      <c r="AA108" s="502"/>
      <c r="AB108" s="502"/>
      <c r="AC108" s="502"/>
      <c r="AD108" s="502"/>
      <c r="AE108" s="502"/>
      <c r="AF108" s="502"/>
      <c r="AG108" s="502"/>
      <c r="AH108" s="502"/>
      <c r="AI108" s="502"/>
      <c r="AJ108" s="502"/>
      <c r="AK108" s="502"/>
      <c r="AL108" s="502"/>
    </row>
    <row r="109" spans="1:39" s="155" customFormat="1" ht="12.75" customHeight="1">
      <c r="A109" s="1005">
        <f>+A106+1</f>
        <v>31</v>
      </c>
      <c r="B109" s="1008" t="s">
        <v>125</v>
      </c>
      <c r="C109" s="1053" t="s">
        <v>196</v>
      </c>
      <c r="D109" s="1014" t="s">
        <v>194</v>
      </c>
      <c r="E109" s="1199">
        <v>739</v>
      </c>
      <c r="F109" s="1193">
        <f>0.001*5</f>
        <v>5.0000000000000001E-3</v>
      </c>
      <c r="G109" s="1194"/>
      <c r="H109" s="1195"/>
      <c r="I109" s="993">
        <f>0.001*20</f>
        <v>0.02</v>
      </c>
      <c r="J109" s="994"/>
      <c r="K109" s="995"/>
      <c r="L109" s="336"/>
      <c r="M109" s="177"/>
      <c r="N109" s="545"/>
      <c r="O109" s="545"/>
      <c r="P109" s="545"/>
      <c r="Q109" s="544"/>
      <c r="R109" s="549">
        <f>F110+I110</f>
        <v>7.6141199999999992E-2</v>
      </c>
      <c r="S109" s="987">
        <f>R109+R110</f>
        <v>0.1068623226336</v>
      </c>
      <c r="T109" s="987">
        <f>E109*S109</f>
        <v>78.971256426230397</v>
      </c>
      <c r="U109" s="1112">
        <f>R110*E109</f>
        <v>22.702909626230408</v>
      </c>
      <c r="V109" s="273">
        <f t="shared" si="0"/>
        <v>0.14190645097466256</v>
      </c>
      <c r="W109" s="274">
        <f t="shared" si="1"/>
        <v>104.86886727027563</v>
      </c>
      <c r="X109" s="419"/>
    </row>
    <row r="110" spans="1:39" s="155" customFormat="1" ht="12.75" customHeight="1">
      <c r="A110" s="1007"/>
      <c r="B110" s="1010"/>
      <c r="C110" s="1054"/>
      <c r="D110" s="1016"/>
      <c r="E110" s="1200"/>
      <c r="F110" s="1193">
        <f>F109*J$13/1000</f>
        <v>1.1685000000000001E-2</v>
      </c>
      <c r="G110" s="1194"/>
      <c r="H110" s="1195"/>
      <c r="I110" s="1193">
        <f>I109*$Q$13/1000</f>
        <v>6.4456199999999991E-2</v>
      </c>
      <c r="J110" s="1194"/>
      <c r="K110" s="1195"/>
      <c r="L110" s="337" t="s">
        <v>83</v>
      </c>
      <c r="M110" s="243" t="s">
        <v>126</v>
      </c>
      <c r="N110" s="244">
        <v>1E-3</v>
      </c>
      <c r="O110" s="247">
        <f>E109*N110</f>
        <v>0.73899999999999999</v>
      </c>
      <c r="P110" s="240">
        <v>26.655999999999999</v>
      </c>
      <c r="Q110" s="245">
        <f>N110*P110*$N$11</f>
        <v>3.0721122633600009E-2</v>
      </c>
      <c r="R110" s="546">
        <f>Q110</f>
        <v>3.0721122633600009E-2</v>
      </c>
      <c r="S110" s="989"/>
      <c r="T110" s="989"/>
      <c r="U110" s="1113"/>
      <c r="V110" s="273">
        <f t="shared" si="0"/>
        <v>0</v>
      </c>
      <c r="W110" s="274">
        <f t="shared" si="1"/>
        <v>0</v>
      </c>
      <c r="X110" s="419"/>
    </row>
    <row r="111" spans="1:39" s="428" customFormat="1" ht="15" customHeight="1">
      <c r="A111" s="504"/>
      <c r="C111" s="557" t="s">
        <v>311</v>
      </c>
      <c r="D111" s="424"/>
      <c r="E111" s="425">
        <v>2</v>
      </c>
      <c r="F111" s="1537" t="s">
        <v>266</v>
      </c>
      <c r="G111" s="1537"/>
      <c r="H111" s="1537"/>
      <c r="I111" s="1537"/>
      <c r="J111" s="1537"/>
      <c r="K111" s="1537"/>
      <c r="L111" s="1537"/>
      <c r="M111" s="426"/>
      <c r="N111" s="426"/>
      <c r="O111" s="426"/>
      <c r="P111" s="425"/>
      <c r="Q111" s="425"/>
      <c r="R111" s="425"/>
      <c r="S111" s="425"/>
      <c r="T111" s="425"/>
      <c r="U111" s="427">
        <f>+E111</f>
        <v>2</v>
      </c>
      <c r="V111" s="273">
        <f t="shared" si="0"/>
        <v>0</v>
      </c>
      <c r="W111" s="274">
        <f t="shared" si="1"/>
        <v>0</v>
      </c>
      <c r="X111" s="419"/>
    </row>
    <row r="112" spans="1:39" s="433" customFormat="1" ht="12.75">
      <c r="A112" s="1300">
        <v>1</v>
      </c>
      <c r="B112" s="1529" t="s">
        <v>211</v>
      </c>
      <c r="C112" s="1538" t="s">
        <v>200</v>
      </c>
      <c r="D112" s="1531" t="s">
        <v>201</v>
      </c>
      <c r="E112" s="1533">
        <f>2.5*E111</f>
        <v>5</v>
      </c>
      <c r="F112" s="1526">
        <f>0.01*194</f>
        <v>1.94</v>
      </c>
      <c r="G112" s="1526"/>
      <c r="H112" s="1526"/>
      <c r="I112" s="1527">
        <v>0</v>
      </c>
      <c r="J112" s="1527"/>
      <c r="K112" s="1527"/>
      <c r="L112" s="429"/>
      <c r="M112" s="430"/>
      <c r="N112" s="430"/>
      <c r="O112" s="430"/>
      <c r="P112" s="431"/>
      <c r="Q112" s="432"/>
      <c r="R112" s="1522">
        <f>F113+I113</f>
        <v>4.5337800000000001</v>
      </c>
      <c r="S112" s="1522">
        <f>R112+R113</f>
        <v>4.5337800000000001</v>
      </c>
      <c r="T112" s="1522">
        <f>E112*S112</f>
        <v>22.668900000000001</v>
      </c>
      <c r="U112" s="1524"/>
      <c r="V112" s="273">
        <f t="shared" si="0"/>
        <v>6.0205750113240972</v>
      </c>
      <c r="W112" s="274">
        <f t="shared" si="1"/>
        <v>30.102875056620487</v>
      </c>
      <c r="X112" s="419"/>
    </row>
    <row r="113" spans="1:50" s="433" customFormat="1" ht="12.75">
      <c r="A113" s="1528"/>
      <c r="B113" s="1530"/>
      <c r="C113" s="1538"/>
      <c r="D113" s="1532"/>
      <c r="E113" s="1534"/>
      <c r="F113" s="1526">
        <f>F112*$J$13/1000</f>
        <v>4.5337800000000001</v>
      </c>
      <c r="G113" s="1526"/>
      <c r="H113" s="1526"/>
      <c r="I113" s="1527">
        <f>I112*$Q$13/1000</f>
        <v>0</v>
      </c>
      <c r="J113" s="1527"/>
      <c r="K113" s="1527"/>
      <c r="L113" s="434"/>
      <c r="M113" s="435"/>
      <c r="N113" s="435"/>
      <c r="O113" s="435" t="s">
        <v>20</v>
      </c>
      <c r="P113" s="436"/>
      <c r="Q113" s="437"/>
      <c r="R113" s="1523"/>
      <c r="S113" s="1523"/>
      <c r="T113" s="1523"/>
      <c r="U113" s="1525"/>
      <c r="V113" s="273">
        <f t="shared" si="0"/>
        <v>0</v>
      </c>
      <c r="W113" s="274">
        <f t="shared" si="1"/>
        <v>0</v>
      </c>
      <c r="X113" s="419"/>
    </row>
    <row r="114" spans="1:50" s="433" customFormat="1" ht="12.75">
      <c r="A114" s="1300">
        <f>+A112+1</f>
        <v>2</v>
      </c>
      <c r="B114" s="1529" t="s">
        <v>212</v>
      </c>
      <c r="C114" s="1180" t="s">
        <v>222</v>
      </c>
      <c r="D114" s="1531" t="s">
        <v>201</v>
      </c>
      <c r="E114" s="1533">
        <f>+E112</f>
        <v>5</v>
      </c>
      <c r="F114" s="1526">
        <f>0.01*66.4</f>
        <v>0.66400000000000003</v>
      </c>
      <c r="G114" s="1526"/>
      <c r="H114" s="1526"/>
      <c r="I114" s="1535"/>
      <c r="J114" s="1535"/>
      <c r="K114" s="1535"/>
      <c r="L114" s="438"/>
      <c r="M114" s="439"/>
      <c r="N114" s="440"/>
      <c r="O114" s="440"/>
      <c r="P114" s="441"/>
      <c r="Q114" s="442"/>
      <c r="R114" s="1522">
        <f>F115+I115</f>
        <v>1.551768</v>
      </c>
      <c r="S114" s="1522">
        <f>R114+R115</f>
        <v>1.551768</v>
      </c>
      <c r="T114" s="1522">
        <f>E114*S114</f>
        <v>7.7588400000000002</v>
      </c>
      <c r="U114" s="443"/>
      <c r="V114" s="273">
        <f t="shared" si="0"/>
        <v>2.0606504162470105</v>
      </c>
      <c r="W114" s="274">
        <f t="shared" si="1"/>
        <v>10.303252081235053</v>
      </c>
      <c r="X114" s="419"/>
    </row>
    <row r="115" spans="1:50" s="433" customFormat="1" ht="10.5" customHeight="1">
      <c r="A115" s="1528"/>
      <c r="B115" s="1530"/>
      <c r="C115" s="1181"/>
      <c r="D115" s="1532"/>
      <c r="E115" s="1534"/>
      <c r="F115" s="1526">
        <f>F114*$J$13/1000</f>
        <v>1.551768</v>
      </c>
      <c r="G115" s="1526"/>
      <c r="H115" s="1526"/>
      <c r="I115" s="1536"/>
      <c r="J115" s="1536"/>
      <c r="K115" s="1536"/>
      <c r="L115" s="434"/>
      <c r="M115" s="444"/>
      <c r="N115" s="445"/>
      <c r="O115" s="445"/>
      <c r="P115" s="436"/>
      <c r="Q115" s="446"/>
      <c r="R115" s="1523"/>
      <c r="S115" s="1523"/>
      <c r="T115" s="1523"/>
      <c r="U115" s="447"/>
      <c r="V115" s="273">
        <f t="shared" si="0"/>
        <v>0</v>
      </c>
      <c r="W115" s="274">
        <f t="shared" si="1"/>
        <v>0</v>
      </c>
      <c r="X115" s="419"/>
    </row>
    <row r="116" spans="1:50" s="156" customFormat="1" ht="12">
      <c r="A116" s="1005">
        <f>+A114+1</f>
        <v>3</v>
      </c>
      <c r="B116" s="1008" t="s">
        <v>213</v>
      </c>
      <c r="C116" s="1011" t="s">
        <v>223</v>
      </c>
      <c r="D116" s="1014" t="s">
        <v>199</v>
      </c>
      <c r="E116" s="1199">
        <f>+((0.4*2.51)+(1.5*3.77)+(5*0.4)+(7*0.22)+(1.5*0.04))*E111</f>
        <v>20.518000000000004</v>
      </c>
      <c r="F116" s="1190">
        <f>36.1/1000</f>
        <v>3.61E-2</v>
      </c>
      <c r="G116" s="1191"/>
      <c r="H116" s="1192"/>
      <c r="I116" s="1193">
        <v>5.7000000000000002E-2</v>
      </c>
      <c r="J116" s="1194"/>
      <c r="K116" s="1195"/>
      <c r="L116" s="417"/>
      <c r="M116" s="177"/>
      <c r="N116" s="545"/>
      <c r="O116" s="545"/>
      <c r="P116" s="545"/>
      <c r="Q116" s="544"/>
      <c r="R116" s="549">
        <f>F117+I117</f>
        <v>0.26806587000000004</v>
      </c>
      <c r="S116" s="987">
        <f>R116+R117+R118+R119</f>
        <v>0.91280676072246025</v>
      </c>
      <c r="T116" s="987">
        <f>E116*S116</f>
        <v>18.728969116503443</v>
      </c>
      <c r="U116" s="1112">
        <f>E116*Q117</f>
        <v>13.005882233190007</v>
      </c>
      <c r="V116" s="273">
        <f t="shared" si="0"/>
        <v>1.2121500323732819</v>
      </c>
      <c r="W116" s="274">
        <f t="shared" si="1"/>
        <v>24.870894364235003</v>
      </c>
      <c r="X116" s="419"/>
      <c r="Y116" s="239"/>
    </row>
    <row r="117" spans="1:50" s="156" customFormat="1" ht="13.5" customHeight="1">
      <c r="A117" s="1006"/>
      <c r="B117" s="1009"/>
      <c r="C117" s="1012"/>
      <c r="D117" s="1015"/>
      <c r="E117" s="1287"/>
      <c r="F117" s="1164">
        <f>F116*$J$13/1000</f>
        <v>8.4365700000000002E-2</v>
      </c>
      <c r="G117" s="1520"/>
      <c r="H117" s="1166"/>
      <c r="I117" s="1164">
        <f>I116*$Q$13/1000</f>
        <v>0.18370017000000002</v>
      </c>
      <c r="J117" s="1520"/>
      <c r="K117" s="1166"/>
      <c r="L117" s="249" t="s">
        <v>208</v>
      </c>
      <c r="M117" s="250" t="s">
        <v>124</v>
      </c>
      <c r="N117" s="264">
        <v>1</v>
      </c>
      <c r="O117" s="340">
        <f>E116*N117</f>
        <v>20.518000000000004</v>
      </c>
      <c r="P117" s="240">
        <v>0.55000000000000004</v>
      </c>
      <c r="Q117" s="245">
        <f>N117*P117*$N$11</f>
        <v>0.63387670500000026</v>
      </c>
      <c r="R117" s="987">
        <f>SUM(Q117:Q119)</f>
        <v>0.64474089072246021</v>
      </c>
      <c r="S117" s="988"/>
      <c r="T117" s="988"/>
      <c r="U117" s="1031"/>
      <c r="V117" s="273">
        <f t="shared" si="0"/>
        <v>0</v>
      </c>
      <c r="W117" s="274">
        <f t="shared" si="1"/>
        <v>0</v>
      </c>
      <c r="X117" s="419"/>
      <c r="Y117" s="239"/>
    </row>
    <row r="118" spans="1:50" s="156" customFormat="1" ht="12">
      <c r="A118" s="1006"/>
      <c r="B118" s="1009"/>
      <c r="C118" s="1012"/>
      <c r="D118" s="1015"/>
      <c r="E118" s="1287"/>
      <c r="F118" s="1288"/>
      <c r="G118" s="1289"/>
      <c r="H118" s="1290"/>
      <c r="I118" s="1288"/>
      <c r="J118" s="1289"/>
      <c r="K118" s="1290"/>
      <c r="L118" s="337" t="s">
        <v>190</v>
      </c>
      <c r="M118" s="243" t="s">
        <v>124</v>
      </c>
      <c r="N118" s="240">
        <v>4.0000000000000001E-3</v>
      </c>
      <c r="O118" s="247">
        <f>E116*N118</f>
        <v>8.207200000000002E-2</v>
      </c>
      <c r="P118" s="448">
        <v>0.89400000000000002</v>
      </c>
      <c r="Q118" s="449">
        <f>N118*P118*$N$11</f>
        <v>4.1213510856000016E-3</v>
      </c>
      <c r="R118" s="988"/>
      <c r="S118" s="988"/>
      <c r="T118" s="988"/>
      <c r="U118" s="1031"/>
      <c r="V118" s="273">
        <f t="shared" si="0"/>
        <v>0</v>
      </c>
      <c r="W118" s="274">
        <f t="shared" si="1"/>
        <v>0</v>
      </c>
      <c r="X118" s="419"/>
      <c r="Y118" s="239"/>
    </row>
    <row r="119" spans="1:50" s="156" customFormat="1" ht="12">
      <c r="A119" s="1007"/>
      <c r="B119" s="1010"/>
      <c r="C119" s="1013"/>
      <c r="D119" s="1016"/>
      <c r="E119" s="1200"/>
      <c r="F119" s="1225"/>
      <c r="G119" s="1226"/>
      <c r="H119" s="1167"/>
      <c r="I119" s="1225"/>
      <c r="J119" s="1226"/>
      <c r="K119" s="1167"/>
      <c r="L119" s="450" t="s">
        <v>214</v>
      </c>
      <c r="M119" s="243" t="s">
        <v>124</v>
      </c>
      <c r="N119" s="451">
        <v>4.8999999999999998E-3</v>
      </c>
      <c r="O119" s="261">
        <f>E116*N119</f>
        <v>0.10053820000000002</v>
      </c>
      <c r="P119" s="452">
        <v>1.194</v>
      </c>
      <c r="Q119" s="453">
        <f>N119*P119*$N$11</f>
        <v>6.742834636860001E-3</v>
      </c>
      <c r="R119" s="989"/>
      <c r="S119" s="989"/>
      <c r="T119" s="989"/>
      <c r="U119" s="1113"/>
      <c r="V119" s="273">
        <f t="shared" si="0"/>
        <v>0</v>
      </c>
      <c r="W119" s="274">
        <f t="shared" si="1"/>
        <v>0</v>
      </c>
      <c r="X119" s="419"/>
      <c r="Y119" s="239"/>
    </row>
    <row r="120" spans="1:50" s="398" customFormat="1" ht="12">
      <c r="A120" s="1005">
        <f>+A116+1</f>
        <v>4</v>
      </c>
      <c r="B120" s="1008" t="s">
        <v>215</v>
      </c>
      <c r="C120" s="1521" t="s">
        <v>224</v>
      </c>
      <c r="D120" s="1014" t="s">
        <v>197</v>
      </c>
      <c r="E120" s="1055">
        <v>7</v>
      </c>
      <c r="F120" s="993">
        <v>0.23</v>
      </c>
      <c r="G120" s="994"/>
      <c r="H120" s="995"/>
      <c r="I120" s="993">
        <v>0.01</v>
      </c>
      <c r="J120" s="994"/>
      <c r="K120" s="995"/>
      <c r="L120" s="417"/>
      <c r="M120" s="177"/>
      <c r="N120" s="545"/>
      <c r="O120" s="545"/>
      <c r="P120" s="558"/>
      <c r="Q120" s="551"/>
      <c r="R120" s="549">
        <f>F121+I121</f>
        <v>0.56973810000000003</v>
      </c>
      <c r="S120" s="987">
        <f>R120+R121</f>
        <v>5.756002050000002</v>
      </c>
      <c r="T120" s="987">
        <f>E120*S120</f>
        <v>40.292014350000017</v>
      </c>
      <c r="U120" s="1112">
        <f>E120*Q121</f>
        <v>36.303847650000009</v>
      </c>
      <c r="V120" s="273">
        <f t="shared" si="0"/>
        <v>7.6436091092554745</v>
      </c>
      <c r="W120" s="274">
        <f t="shared" si="1"/>
        <v>53.505263764788324</v>
      </c>
      <c r="X120" s="419"/>
      <c r="Y120" s="454"/>
    </row>
    <row r="121" spans="1:50" s="398" customFormat="1" ht="12">
      <c r="A121" s="1007"/>
      <c r="B121" s="1010"/>
      <c r="C121" s="1521"/>
      <c r="D121" s="1016"/>
      <c r="E121" s="1056"/>
      <c r="F121" s="1225">
        <f>F120*$J$13/1000</f>
        <v>0.53751000000000004</v>
      </c>
      <c r="G121" s="1226"/>
      <c r="H121" s="1167"/>
      <c r="I121" s="1225">
        <f>I120*$Q$13/1000</f>
        <v>3.2228099999999996E-2</v>
      </c>
      <c r="J121" s="1226"/>
      <c r="K121" s="1167"/>
      <c r="L121" s="337" t="s">
        <v>216</v>
      </c>
      <c r="M121" s="243" t="s">
        <v>164</v>
      </c>
      <c r="N121" s="244">
        <v>1</v>
      </c>
      <c r="O121" s="247">
        <f>E120*N121</f>
        <v>7</v>
      </c>
      <c r="P121" s="338">
        <v>4.5</v>
      </c>
      <c r="Q121" s="455">
        <f>N121*P121*$N$11</f>
        <v>5.1862639500000016</v>
      </c>
      <c r="R121" s="546">
        <f>SUM(Q121:Q121)</f>
        <v>5.1862639500000016</v>
      </c>
      <c r="S121" s="989"/>
      <c r="T121" s="989"/>
      <c r="U121" s="1113"/>
      <c r="V121" s="273">
        <f t="shared" si="0"/>
        <v>0</v>
      </c>
      <c r="W121" s="274">
        <f t="shared" si="1"/>
        <v>0</v>
      </c>
      <c r="X121" s="419"/>
      <c r="Y121" s="454"/>
    </row>
    <row r="122" spans="1:50" s="156" customFormat="1" ht="12">
      <c r="A122" s="1005">
        <f>+A120+1</f>
        <v>5</v>
      </c>
      <c r="B122" s="1008" t="s">
        <v>217</v>
      </c>
      <c r="C122" s="1053" t="s">
        <v>225</v>
      </c>
      <c r="D122" s="1014" t="s">
        <v>197</v>
      </c>
      <c r="E122" s="1055">
        <f>3*E111</f>
        <v>6</v>
      </c>
      <c r="F122" s="990">
        <v>0.46</v>
      </c>
      <c r="G122" s="991"/>
      <c r="H122" s="992"/>
      <c r="I122" s="993">
        <v>0.08</v>
      </c>
      <c r="J122" s="994"/>
      <c r="K122" s="995"/>
      <c r="L122" s="417"/>
      <c r="M122" s="177"/>
      <c r="N122" s="545"/>
      <c r="O122" s="545"/>
      <c r="P122" s="545"/>
      <c r="Q122" s="551"/>
      <c r="R122" s="549">
        <f>F123+I123</f>
        <v>1.3328448000000002</v>
      </c>
      <c r="S122" s="987">
        <f>R122+R123</f>
        <v>5.8172343621000016</v>
      </c>
      <c r="T122" s="987">
        <f>E122*S122</f>
        <v>34.903406172600008</v>
      </c>
      <c r="U122" s="1112">
        <f>R123*E122</f>
        <v>26.906337372600007</v>
      </c>
      <c r="V122" s="273">
        <f t="shared" si="0"/>
        <v>7.7249217728860113</v>
      </c>
      <c r="W122" s="274">
        <f t="shared" si="1"/>
        <v>46.349530637316064</v>
      </c>
      <c r="X122" s="419"/>
    </row>
    <row r="123" spans="1:50" s="156" customFormat="1" ht="16.5" customHeight="1">
      <c r="A123" s="1007"/>
      <c r="B123" s="1010"/>
      <c r="C123" s="1054"/>
      <c r="D123" s="1016"/>
      <c r="E123" s="1056"/>
      <c r="F123" s="1430">
        <f>F122*$J$13/1000</f>
        <v>1.0750200000000001</v>
      </c>
      <c r="G123" s="1431"/>
      <c r="H123" s="1432"/>
      <c r="I123" s="993">
        <f>I122*$Q$13/1000</f>
        <v>0.25782479999999997</v>
      </c>
      <c r="J123" s="994"/>
      <c r="K123" s="995"/>
      <c r="L123" s="337" t="s">
        <v>218</v>
      </c>
      <c r="M123" s="243" t="s">
        <v>116</v>
      </c>
      <c r="N123" s="244">
        <v>1.5</v>
      </c>
      <c r="O123" s="247">
        <f>E122*N123</f>
        <v>9</v>
      </c>
      <c r="P123" s="240">
        <v>2.5939999999999999</v>
      </c>
      <c r="Q123" s="245">
        <f>N123*P123*$N$11</f>
        <v>4.4843895621000014</v>
      </c>
      <c r="R123" s="549">
        <f>SUM(Q123:Q123)</f>
        <v>4.4843895621000014</v>
      </c>
      <c r="S123" s="989"/>
      <c r="T123" s="989"/>
      <c r="U123" s="1113"/>
      <c r="V123" s="273">
        <f t="shared" si="0"/>
        <v>0</v>
      </c>
      <c r="W123" s="274">
        <f t="shared" si="1"/>
        <v>0</v>
      </c>
      <c r="X123" s="419"/>
    </row>
    <row r="124" spans="1:50" s="156" customFormat="1" ht="12.75" customHeight="1">
      <c r="A124" s="1005">
        <f>+A122+1</f>
        <v>6</v>
      </c>
      <c r="B124" s="1008" t="s">
        <v>193</v>
      </c>
      <c r="C124" s="1053" t="s">
        <v>226</v>
      </c>
      <c r="D124" s="1014" t="s">
        <v>194</v>
      </c>
      <c r="E124" s="1199">
        <f>7.5*E111</f>
        <v>15</v>
      </c>
      <c r="F124" s="990">
        <v>0.13</v>
      </c>
      <c r="G124" s="991"/>
      <c r="H124" s="992"/>
      <c r="I124" s="1193">
        <v>1.7000000000000001E-2</v>
      </c>
      <c r="J124" s="1194"/>
      <c r="K124" s="1195"/>
      <c r="L124" s="417"/>
      <c r="M124" s="177"/>
      <c r="N124" s="545"/>
      <c r="O124" s="545"/>
      <c r="P124" s="418"/>
      <c r="Q124" s="551"/>
      <c r="R124" s="549">
        <f>F125+I125</f>
        <v>0.35859777000000004</v>
      </c>
      <c r="S124" s="987">
        <f>R124+R125</f>
        <v>1.1930100144000004</v>
      </c>
      <c r="T124" s="987">
        <f>E124*S124</f>
        <v>17.895150216000005</v>
      </c>
      <c r="U124" s="1112">
        <f>R125*E124</f>
        <v>12.516183666000005</v>
      </c>
      <c r="V124" s="273">
        <f t="shared" si="0"/>
        <v>1.5842423498617144</v>
      </c>
      <c r="W124" s="274">
        <f t="shared" si="1"/>
        <v>23.763635247925716</v>
      </c>
      <c r="X124" s="419"/>
    </row>
    <row r="125" spans="1:50" s="156" customFormat="1" ht="15" customHeight="1">
      <c r="A125" s="1007"/>
      <c r="B125" s="1010"/>
      <c r="C125" s="1286"/>
      <c r="D125" s="1016"/>
      <c r="E125" s="1200"/>
      <c r="F125" s="1430">
        <f>F124*$J$13/1000</f>
        <v>0.30381000000000002</v>
      </c>
      <c r="G125" s="1431"/>
      <c r="H125" s="1432"/>
      <c r="I125" s="993">
        <f>I124*$Q$13/1000</f>
        <v>5.478777E-2</v>
      </c>
      <c r="J125" s="994"/>
      <c r="K125" s="995"/>
      <c r="L125" s="246" t="s">
        <v>219</v>
      </c>
      <c r="M125" s="243" t="s">
        <v>116</v>
      </c>
      <c r="N125" s="244">
        <v>1</v>
      </c>
      <c r="O125" s="247">
        <f>E124*N125</f>
        <v>15</v>
      </c>
      <c r="P125" s="240">
        <f>0.543/3*4</f>
        <v>0.72400000000000009</v>
      </c>
      <c r="Q125" s="245">
        <f>N125*P125*$N$11</f>
        <v>0.83441224440000039</v>
      </c>
      <c r="R125" s="549">
        <f>SUM(Q125:Q125)</f>
        <v>0.83441224440000039</v>
      </c>
      <c r="S125" s="989"/>
      <c r="T125" s="989"/>
      <c r="U125" s="1113"/>
      <c r="V125" s="273">
        <f t="shared" si="0"/>
        <v>0</v>
      </c>
      <c r="W125" s="274">
        <f t="shared" si="1"/>
        <v>0</v>
      </c>
      <c r="X125" s="419"/>
    </row>
    <row r="126" spans="1:50" s="155" customFormat="1" ht="12.75" customHeight="1">
      <c r="A126" s="371"/>
      <c r="B126" s="372"/>
      <c r="C126" s="373" t="s">
        <v>153</v>
      </c>
      <c r="D126" s="374"/>
      <c r="E126" s="375"/>
      <c r="F126" s="376"/>
      <c r="G126" s="377"/>
      <c r="H126" s="376"/>
      <c r="I126" s="376"/>
      <c r="J126" s="377"/>
      <c r="K126" s="376"/>
      <c r="L126" s="378"/>
      <c r="M126" s="379"/>
      <c r="N126" s="380"/>
      <c r="O126" s="381"/>
      <c r="P126" s="376"/>
      <c r="Q126" s="382"/>
      <c r="R126" s="381"/>
      <c r="S126" s="381"/>
      <c r="T126" s="383" t="e">
        <f>SUM(T22:T125)-#REF!</f>
        <v>#REF!</v>
      </c>
      <c r="U126" s="383" t="e">
        <f>SUM(U22:U125)-#REF!</f>
        <v>#REF!</v>
      </c>
      <c r="V126" s="273">
        <f t="shared" si="0"/>
        <v>0</v>
      </c>
      <c r="W126" s="559">
        <f>SUM(W21:W125)</f>
        <v>16129.761292528307</v>
      </c>
      <c r="X126" s="419">
        <v>0.35666561624449483</v>
      </c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</row>
    <row r="127" spans="1:50" s="154" customFormat="1" ht="13.5" customHeight="1">
      <c r="A127" s="384"/>
      <c r="B127" s="556"/>
      <c r="C127" s="560" t="s">
        <v>314</v>
      </c>
      <c r="D127" s="556"/>
      <c r="E127" s="556"/>
      <c r="F127" s="556"/>
      <c r="G127" s="555"/>
      <c r="H127" s="555"/>
      <c r="I127" s="556"/>
      <c r="J127" s="556"/>
      <c r="K127" s="556"/>
      <c r="L127" s="385"/>
      <c r="M127" s="556"/>
      <c r="N127" s="556"/>
      <c r="O127" s="556"/>
      <c r="P127" s="556"/>
      <c r="Q127" s="556"/>
      <c r="R127" s="556"/>
      <c r="S127" s="556"/>
      <c r="T127" s="556"/>
      <c r="U127" s="386"/>
      <c r="V127" s="273">
        <f t="shared" si="0"/>
        <v>0</v>
      </c>
      <c r="W127" s="274">
        <f t="shared" si="1"/>
        <v>0</v>
      </c>
      <c r="X127" s="419"/>
      <c r="Y127" s="196"/>
      <c r="Z127" s="196"/>
      <c r="AA127" s="196"/>
      <c r="AB127" s="196"/>
      <c r="AC127" s="196"/>
      <c r="AD127" s="196"/>
      <c r="AE127" s="196"/>
      <c r="AF127" s="155"/>
      <c r="AG127" s="155"/>
    </row>
    <row r="128" spans="1:50" s="242" customFormat="1" ht="20.25" customHeight="1">
      <c r="A128" s="1095">
        <v>1</v>
      </c>
      <c r="B128" s="1097" t="s">
        <v>259</v>
      </c>
      <c r="C128" s="1538" t="s">
        <v>302</v>
      </c>
      <c r="D128" s="1579" t="s">
        <v>201</v>
      </c>
      <c r="E128" s="1178">
        <v>8.8000000000000007</v>
      </c>
      <c r="F128" s="1583">
        <f>205/100</f>
        <v>2.0499999999999998</v>
      </c>
      <c r="G128" s="1583"/>
      <c r="H128" s="1583"/>
      <c r="I128" s="1578">
        <v>0</v>
      </c>
      <c r="J128" s="1578"/>
      <c r="K128" s="1578"/>
      <c r="L128" s="387"/>
      <c r="M128" s="388"/>
      <c r="N128" s="388"/>
      <c r="O128" s="388"/>
      <c r="P128" s="388"/>
      <c r="Q128" s="389"/>
      <c r="R128" s="1044">
        <f>F129+I129</f>
        <v>4.7908499999999998</v>
      </c>
      <c r="S128" s="1044">
        <f>R128+R129</f>
        <v>4.7908499999999998</v>
      </c>
      <c r="T128" s="1044">
        <f>E128*S128</f>
        <v>42.159480000000002</v>
      </c>
      <c r="U128" s="1105"/>
      <c r="V128" s="273">
        <f t="shared" si="0"/>
        <v>6.3619478212445353</v>
      </c>
      <c r="W128" s="274">
        <f t="shared" si="1"/>
        <v>55.985140826951913</v>
      </c>
      <c r="X128" s="419"/>
    </row>
    <row r="129" spans="1:38" s="242" customFormat="1" ht="20.25" customHeight="1">
      <c r="A129" s="1107"/>
      <c r="B129" s="1098"/>
      <c r="C129" s="1538"/>
      <c r="D129" s="1579"/>
      <c r="E129" s="1179"/>
      <c r="F129" s="1052">
        <f>F128*$J$13/1000</f>
        <v>4.7908499999999998</v>
      </c>
      <c r="G129" s="1052"/>
      <c r="H129" s="1052"/>
      <c r="I129" s="1578">
        <f>I128*$Q$13/1000</f>
        <v>0</v>
      </c>
      <c r="J129" s="1578"/>
      <c r="K129" s="1578"/>
      <c r="L129" s="390"/>
      <c r="M129" s="391"/>
      <c r="N129" s="391"/>
      <c r="O129" s="391"/>
      <c r="P129" s="391"/>
      <c r="Q129" s="392"/>
      <c r="R129" s="1045"/>
      <c r="S129" s="1045"/>
      <c r="T129" s="1045"/>
      <c r="U129" s="1106"/>
      <c r="V129" s="273">
        <f t="shared" si="0"/>
        <v>0</v>
      </c>
      <c r="W129" s="274">
        <f t="shared" si="1"/>
        <v>0</v>
      </c>
      <c r="X129" s="419"/>
    </row>
    <row r="130" spans="1:38" s="242" customFormat="1" ht="13.5" customHeight="1">
      <c r="A130" s="1095">
        <f>+A128+1</f>
        <v>2</v>
      </c>
      <c r="B130" s="1097" t="s">
        <v>179</v>
      </c>
      <c r="C130" s="1538" t="s">
        <v>200</v>
      </c>
      <c r="D130" s="1579" t="s">
        <v>201</v>
      </c>
      <c r="E130" s="1178">
        <v>20.3</v>
      </c>
      <c r="F130" s="1052">
        <v>3.68</v>
      </c>
      <c r="G130" s="1052"/>
      <c r="H130" s="1052"/>
      <c r="I130" s="1578">
        <v>0</v>
      </c>
      <c r="J130" s="1578"/>
      <c r="K130" s="1578"/>
      <c r="L130" s="387"/>
      <c r="M130" s="388"/>
      <c r="N130" s="388"/>
      <c r="O130" s="388"/>
      <c r="P130" s="388"/>
      <c r="Q130" s="389"/>
      <c r="R130" s="1044">
        <f>F131+I131</f>
        <v>8.6001600000000007</v>
      </c>
      <c r="S130" s="1044">
        <f>R130+R131</f>
        <v>8.6001600000000007</v>
      </c>
      <c r="T130" s="1044">
        <f>E130*S130</f>
        <v>174.58324800000003</v>
      </c>
      <c r="U130" s="1105"/>
      <c r="V130" s="273">
        <f t="shared" si="0"/>
        <v>11.420472186429215</v>
      </c>
      <c r="W130" s="274">
        <f t="shared" si="1"/>
        <v>231.83558538451308</v>
      </c>
      <c r="X130" s="419"/>
    </row>
    <row r="131" spans="1:38" s="242" customFormat="1" ht="13.5" customHeight="1">
      <c r="A131" s="1107"/>
      <c r="B131" s="1098"/>
      <c r="C131" s="1538"/>
      <c r="D131" s="1579"/>
      <c r="E131" s="1179"/>
      <c r="F131" s="1052">
        <f>F130*$J$13/1000</f>
        <v>8.6001600000000007</v>
      </c>
      <c r="G131" s="1052"/>
      <c r="H131" s="1052"/>
      <c r="I131" s="1578">
        <f>I130*$Q$13/1000</f>
        <v>0</v>
      </c>
      <c r="J131" s="1578"/>
      <c r="K131" s="1578"/>
      <c r="L131" s="390"/>
      <c r="M131" s="391"/>
      <c r="N131" s="391"/>
      <c r="O131" s="391"/>
      <c r="P131" s="391"/>
      <c r="Q131" s="392"/>
      <c r="R131" s="1045"/>
      <c r="S131" s="1045"/>
      <c r="T131" s="1045"/>
      <c r="U131" s="1106"/>
      <c r="V131" s="273">
        <f t="shared" si="0"/>
        <v>0</v>
      </c>
      <c r="W131" s="274">
        <f t="shared" si="1"/>
        <v>0</v>
      </c>
      <c r="X131" s="419"/>
    </row>
    <row r="132" spans="1:38" s="242" customFormat="1" ht="12.75" customHeight="1">
      <c r="A132" s="1095">
        <f>+A130+1</f>
        <v>3</v>
      </c>
      <c r="B132" s="1097" t="s">
        <v>181</v>
      </c>
      <c r="C132" s="1180" t="s">
        <v>202</v>
      </c>
      <c r="D132" s="1182" t="s">
        <v>203</v>
      </c>
      <c r="E132" s="1178">
        <v>29.1</v>
      </c>
      <c r="F132" s="1052">
        <f>0.01*56.2</f>
        <v>0.56200000000000006</v>
      </c>
      <c r="G132" s="1052"/>
      <c r="H132" s="1052"/>
      <c r="I132" s="1426"/>
      <c r="J132" s="1426"/>
      <c r="K132" s="1426"/>
      <c r="L132" s="387"/>
      <c r="M132" s="388"/>
      <c r="N132" s="388"/>
      <c r="O132" s="388"/>
      <c r="P132" s="388"/>
      <c r="Q132" s="389"/>
      <c r="R132" s="1044">
        <f>F133+I133</f>
        <v>1.3133940000000002</v>
      </c>
      <c r="S132" s="1044">
        <f>R132+R133</f>
        <v>1.3133940000000002</v>
      </c>
      <c r="T132" s="1044">
        <f>E132*S132</f>
        <v>38.219765400000007</v>
      </c>
      <c r="U132" s="552"/>
      <c r="V132" s="273">
        <f t="shared" si="0"/>
        <v>1.7441047197753312</v>
      </c>
      <c r="W132" s="274">
        <f t="shared" si="1"/>
        <v>50.753447345462142</v>
      </c>
      <c r="X132" s="419"/>
      <c r="Y132" s="155"/>
      <c r="Z132" s="398"/>
      <c r="AA132" s="398"/>
      <c r="AB132" s="398"/>
      <c r="AC132" s="398"/>
      <c r="AD132" s="398"/>
      <c r="AE132" s="398"/>
      <c r="AF132" s="398"/>
      <c r="AG132" s="398"/>
      <c r="AH132" s="398"/>
      <c r="AI132" s="398"/>
      <c r="AJ132" s="398"/>
      <c r="AK132" s="398"/>
      <c r="AL132" s="398"/>
    </row>
    <row r="133" spans="1:38" s="242" customFormat="1" ht="12.75" customHeight="1">
      <c r="A133" s="1107"/>
      <c r="B133" s="1098"/>
      <c r="C133" s="1181"/>
      <c r="D133" s="1183"/>
      <c r="E133" s="1179"/>
      <c r="F133" s="1052">
        <f>F132*$J$13/1000</f>
        <v>1.3133940000000002</v>
      </c>
      <c r="G133" s="1052"/>
      <c r="H133" s="1052"/>
      <c r="I133" s="1184">
        <f>J132*$Q$13/1000</f>
        <v>0</v>
      </c>
      <c r="J133" s="1184"/>
      <c r="K133" s="1184"/>
      <c r="L133" s="390"/>
      <c r="M133" s="391"/>
      <c r="N133" s="391"/>
      <c r="O133" s="391"/>
      <c r="P133" s="391"/>
      <c r="Q133" s="392"/>
      <c r="R133" s="1045"/>
      <c r="S133" s="1045"/>
      <c r="T133" s="1045"/>
      <c r="U133" s="553"/>
      <c r="V133" s="273">
        <f t="shared" si="0"/>
        <v>0</v>
      </c>
      <c r="W133" s="274">
        <f t="shared" si="1"/>
        <v>0</v>
      </c>
      <c r="X133" s="419"/>
      <c r="Y133" s="157"/>
      <c r="Z133" s="398"/>
      <c r="AA133" s="398"/>
      <c r="AB133" s="398"/>
      <c r="AC133" s="398"/>
      <c r="AD133" s="398"/>
      <c r="AE133" s="398"/>
      <c r="AF133" s="398"/>
      <c r="AG133" s="398"/>
      <c r="AH133" s="398"/>
      <c r="AI133" s="398"/>
      <c r="AJ133" s="398"/>
      <c r="AK133" s="398"/>
      <c r="AL133" s="398"/>
    </row>
    <row r="134" spans="1:38" s="405" customFormat="1" ht="12.75" customHeight="1">
      <c r="A134" s="1005">
        <f>+A132+1</f>
        <v>4</v>
      </c>
      <c r="B134" s="1008" t="s">
        <v>182</v>
      </c>
      <c r="C134" s="1569" t="s">
        <v>204</v>
      </c>
      <c r="D134" s="974" t="s">
        <v>201</v>
      </c>
      <c r="E134" s="1199">
        <v>29.1</v>
      </c>
      <c r="F134" s="1193">
        <v>2.78</v>
      </c>
      <c r="G134" s="1194"/>
      <c r="H134" s="1195"/>
      <c r="I134" s="1193">
        <v>0.34</v>
      </c>
      <c r="J134" s="1194"/>
      <c r="K134" s="1195"/>
      <c r="L134" s="339"/>
      <c r="M134" s="177"/>
      <c r="N134" s="404"/>
      <c r="O134" s="545"/>
      <c r="P134" s="545"/>
      <c r="Q134" s="544"/>
      <c r="R134" s="549">
        <f>F135+I135</f>
        <v>7.5926153999999997</v>
      </c>
      <c r="S134" s="987">
        <f>R134+R135</f>
        <v>46.176733652216264</v>
      </c>
      <c r="T134" s="987">
        <f>E134*S134</f>
        <v>1343.7429492794934</v>
      </c>
      <c r="U134" s="1017">
        <f>E134*R135</f>
        <v>1122.7978411394934</v>
      </c>
      <c r="V134" s="273">
        <f t="shared" si="0"/>
        <v>61.319801298497438</v>
      </c>
      <c r="W134" s="274">
        <f t="shared" si="1"/>
        <v>1784.4062177862756</v>
      </c>
      <c r="X134" s="419"/>
    </row>
    <row r="135" spans="1:38" s="405" customFormat="1" ht="12">
      <c r="A135" s="1006"/>
      <c r="B135" s="1009"/>
      <c r="C135" s="1570"/>
      <c r="D135" s="1572"/>
      <c r="E135" s="1287"/>
      <c r="F135" s="1164">
        <f>F134*$J$13/1000</f>
        <v>6.4968599999999999</v>
      </c>
      <c r="G135" s="1520"/>
      <c r="H135" s="1166"/>
      <c r="I135" s="1164">
        <f>I134*$Q$13/1000</f>
        <v>1.0957554</v>
      </c>
      <c r="J135" s="1520"/>
      <c r="K135" s="1166"/>
      <c r="L135" s="249" t="s">
        <v>183</v>
      </c>
      <c r="M135" s="250" t="s">
        <v>184</v>
      </c>
      <c r="N135" s="406">
        <v>1.02</v>
      </c>
      <c r="O135" s="252">
        <f>E134*N135</f>
        <v>29.682000000000002</v>
      </c>
      <c r="P135" s="237">
        <v>27.25</v>
      </c>
      <c r="Q135" s="253">
        <f>N135*P135*$N$11</f>
        <v>32.033823664500012</v>
      </c>
      <c r="R135" s="987">
        <f>SUM(Q135:Q137)</f>
        <v>38.584118252216264</v>
      </c>
      <c r="S135" s="988"/>
      <c r="T135" s="988"/>
      <c r="U135" s="1018"/>
      <c r="V135" s="273">
        <f t="shared" si="0"/>
        <v>0</v>
      </c>
      <c r="W135" s="274">
        <f t="shared" si="1"/>
        <v>0</v>
      </c>
      <c r="X135" s="419"/>
    </row>
    <row r="136" spans="1:38" s="405" customFormat="1" ht="12">
      <c r="A136" s="1006"/>
      <c r="B136" s="1009"/>
      <c r="C136" s="1570"/>
      <c r="D136" s="1572"/>
      <c r="E136" s="1287"/>
      <c r="F136" s="1288"/>
      <c r="G136" s="1289"/>
      <c r="H136" s="1290"/>
      <c r="I136" s="1288"/>
      <c r="J136" s="1289"/>
      <c r="K136" s="1290"/>
      <c r="L136" s="259" t="s">
        <v>185</v>
      </c>
      <c r="M136" s="260" t="s">
        <v>186</v>
      </c>
      <c r="N136" s="407">
        <v>1.17</v>
      </c>
      <c r="O136" s="261">
        <f>E134*N136</f>
        <v>34.046999999999997</v>
      </c>
      <c r="P136" s="237">
        <v>3.5</v>
      </c>
      <c r="Q136" s="262">
        <f>N136*P136*$N$11</f>
        <v>4.719500194500001</v>
      </c>
      <c r="R136" s="988"/>
      <c r="S136" s="988"/>
      <c r="T136" s="988"/>
      <c r="U136" s="1018"/>
      <c r="V136" s="273">
        <f t="shared" si="0"/>
        <v>0</v>
      </c>
      <c r="W136" s="274">
        <f t="shared" si="1"/>
        <v>0</v>
      </c>
      <c r="X136" s="419"/>
    </row>
    <row r="137" spans="1:38" s="405" customFormat="1" ht="13.5" customHeight="1">
      <c r="A137" s="1007"/>
      <c r="B137" s="1010"/>
      <c r="C137" s="1571"/>
      <c r="D137" s="975"/>
      <c r="E137" s="1200"/>
      <c r="F137" s="1225"/>
      <c r="G137" s="1226"/>
      <c r="H137" s="1167"/>
      <c r="I137" s="1225"/>
      <c r="J137" s="1226"/>
      <c r="K137" s="1167"/>
      <c r="L137" s="263" t="s">
        <v>187</v>
      </c>
      <c r="M137" s="254" t="s">
        <v>184</v>
      </c>
      <c r="N137" s="408">
        <v>1.2500000000000001E-2</v>
      </c>
      <c r="O137" s="256">
        <f>E134*N137</f>
        <v>0.36375000000000002</v>
      </c>
      <c r="P137" s="370">
        <v>127.083</v>
      </c>
      <c r="Q137" s="258">
        <f>N137*P137*$N$11</f>
        <v>1.8307943932162507</v>
      </c>
      <c r="R137" s="989"/>
      <c r="S137" s="989"/>
      <c r="T137" s="989"/>
      <c r="U137" s="1019"/>
      <c r="V137" s="273">
        <f t="shared" si="0"/>
        <v>0</v>
      </c>
      <c r="W137" s="274">
        <f t="shared" si="1"/>
        <v>0</v>
      </c>
      <c r="X137" s="419"/>
    </row>
    <row r="138" spans="1:38" s="413" customFormat="1" ht="14.25" customHeight="1">
      <c r="A138" s="1005">
        <f>+A134+1</f>
        <v>5</v>
      </c>
      <c r="B138" s="1008" t="s">
        <v>188</v>
      </c>
      <c r="C138" s="1558" t="s">
        <v>206</v>
      </c>
      <c r="D138" s="1560" t="s">
        <v>199</v>
      </c>
      <c r="E138" s="1189">
        <v>128</v>
      </c>
      <c r="F138" s="1190">
        <f>0.001*14.8</f>
        <v>1.4800000000000001E-2</v>
      </c>
      <c r="G138" s="1191"/>
      <c r="H138" s="1192"/>
      <c r="I138" s="1193">
        <f>0.001*4.98</f>
        <v>4.9800000000000009E-3</v>
      </c>
      <c r="J138" s="1194"/>
      <c r="K138" s="1195"/>
      <c r="L138" s="339" t="s">
        <v>260</v>
      </c>
      <c r="M138" s="177"/>
      <c r="N138" s="404"/>
      <c r="O138" s="545"/>
      <c r="P138" s="545"/>
      <c r="Q138" s="544"/>
      <c r="R138" s="548">
        <f>F139+I139</f>
        <v>5.0637193800000008E-2</v>
      </c>
      <c r="S138" s="1020">
        <f>R138+R139</f>
        <v>0.68863524988560021</v>
      </c>
      <c r="T138" s="1020">
        <f>E138*S138</f>
        <v>88.145311985356827</v>
      </c>
      <c r="U138" s="1196">
        <f>R139*E138</f>
        <v>81.663751178956829</v>
      </c>
      <c r="V138" s="273">
        <f t="shared" si="0"/>
        <v>0.91446434925783115</v>
      </c>
      <c r="W138" s="274">
        <f t="shared" si="1"/>
        <v>117.05143670500239</v>
      </c>
      <c r="X138" s="419"/>
      <c r="Y138" s="156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</row>
    <row r="139" spans="1:38" s="413" customFormat="1" ht="14.25" customHeight="1">
      <c r="A139" s="1006"/>
      <c r="B139" s="1009"/>
      <c r="C139" s="1563"/>
      <c r="D139" s="1564"/>
      <c r="E139" s="1189"/>
      <c r="F139" s="1020">
        <f>F138*J$13/1000</f>
        <v>3.4587600000000003E-2</v>
      </c>
      <c r="G139" s="1020"/>
      <c r="H139" s="1020"/>
      <c r="I139" s="1020">
        <f>I138*$Q$13/1000</f>
        <v>1.6049593800000005E-2</v>
      </c>
      <c r="J139" s="1020"/>
      <c r="K139" s="1020"/>
      <c r="L139" s="249" t="s">
        <v>189</v>
      </c>
      <c r="M139" s="250" t="s">
        <v>124</v>
      </c>
      <c r="N139" s="406">
        <v>1</v>
      </c>
      <c r="O139" s="252">
        <f>E138*N139</f>
        <v>128</v>
      </c>
      <c r="P139" s="236">
        <v>0.55000000000000004</v>
      </c>
      <c r="Q139" s="253">
        <f>N139*P139*$N$11</f>
        <v>0.63387670500000026</v>
      </c>
      <c r="R139" s="1020">
        <f>SUM(Q139:Q140)</f>
        <v>0.63799805608560023</v>
      </c>
      <c r="S139" s="1020"/>
      <c r="T139" s="1020"/>
      <c r="U139" s="1196"/>
      <c r="V139" s="273">
        <f t="shared" si="0"/>
        <v>0</v>
      </c>
      <c r="W139" s="274">
        <f t="shared" si="1"/>
        <v>0</v>
      </c>
      <c r="X139" s="419"/>
      <c r="Y139" s="156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</row>
    <row r="140" spans="1:38" s="413" customFormat="1" ht="13.5" customHeight="1">
      <c r="A140" s="1007"/>
      <c r="B140" s="1010"/>
      <c r="C140" s="1559"/>
      <c r="D140" s="1561"/>
      <c r="E140" s="1189"/>
      <c r="F140" s="1020"/>
      <c r="G140" s="1020"/>
      <c r="H140" s="1020"/>
      <c r="I140" s="1020"/>
      <c r="J140" s="1020"/>
      <c r="K140" s="1020"/>
      <c r="L140" s="259" t="s">
        <v>190</v>
      </c>
      <c r="M140" s="260" t="s">
        <v>124</v>
      </c>
      <c r="N140" s="407">
        <v>4.0000000000000001E-3</v>
      </c>
      <c r="O140" s="261">
        <f>E138*N140</f>
        <v>0.51200000000000001</v>
      </c>
      <c r="P140" s="237">
        <v>0.89400000000000002</v>
      </c>
      <c r="Q140" s="412">
        <f t="shared" ref="Q140" si="7">N140*P140*$N$11</f>
        <v>4.1213510856000016E-3</v>
      </c>
      <c r="R140" s="1020"/>
      <c r="S140" s="1020"/>
      <c r="T140" s="1020"/>
      <c r="U140" s="1196"/>
      <c r="V140" s="273">
        <f t="shared" si="0"/>
        <v>0</v>
      </c>
      <c r="W140" s="274">
        <f t="shared" si="1"/>
        <v>0</v>
      </c>
      <c r="X140" s="419"/>
      <c r="Y140" s="156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</row>
    <row r="141" spans="1:38" s="241" customFormat="1">
      <c r="A141" s="1005">
        <f>+A138+1</f>
        <v>6</v>
      </c>
      <c r="B141" s="1437" t="s">
        <v>191</v>
      </c>
      <c r="C141" s="1558" t="s">
        <v>207</v>
      </c>
      <c r="D141" s="1560" t="s">
        <v>199</v>
      </c>
      <c r="E141" s="1562">
        <v>20.399999999999999</v>
      </c>
      <c r="F141" s="1556"/>
      <c r="G141" s="1556"/>
      <c r="H141" s="1556"/>
      <c r="I141" s="1557"/>
      <c r="J141" s="1557"/>
      <c r="K141" s="1557"/>
      <c r="L141" s="414"/>
      <c r="M141" s="415"/>
      <c r="N141" s="415"/>
      <c r="O141" s="415"/>
      <c r="P141" s="415"/>
      <c r="Q141" s="416"/>
      <c r="R141" s="550"/>
      <c r="S141" s="1443">
        <f>R141+R142</f>
        <v>1.294947303370787</v>
      </c>
      <c r="T141" s="1443">
        <f>E141*S141</f>
        <v>26.416924988764052</v>
      </c>
      <c r="U141" s="1445">
        <f>R142*E141</f>
        <v>26.416924988764052</v>
      </c>
      <c r="V141" s="273">
        <f t="shared" si="0"/>
        <v>1.7196086655408256</v>
      </c>
      <c r="W141" s="274">
        <f t="shared" si="1"/>
        <v>35.080016777032839</v>
      </c>
      <c r="X141" s="419"/>
    </row>
    <row r="142" spans="1:38" s="241" customFormat="1" ht="13.5" customHeight="1">
      <c r="A142" s="1007"/>
      <c r="B142" s="1437"/>
      <c r="C142" s="1559"/>
      <c r="D142" s="1561"/>
      <c r="E142" s="1562"/>
      <c r="F142" s="1556"/>
      <c r="G142" s="1556"/>
      <c r="H142" s="1556"/>
      <c r="I142" s="1557"/>
      <c r="J142" s="1557"/>
      <c r="K142" s="1557"/>
      <c r="L142" s="246" t="s">
        <v>192</v>
      </c>
      <c r="M142" s="250" t="s">
        <v>124</v>
      </c>
      <c r="N142" s="264">
        <v>1</v>
      </c>
      <c r="O142" s="265">
        <f>E141*N142</f>
        <v>20.399999999999999</v>
      </c>
      <c r="P142" s="240">
        <f>1 /0.89</f>
        <v>1.1235955056179776</v>
      </c>
      <c r="Q142" s="233">
        <f>N142*P142*$N$11</f>
        <v>1.294947303370787</v>
      </c>
      <c r="R142" s="550">
        <f>SUM(Q142:Q142)</f>
        <v>1.294947303370787</v>
      </c>
      <c r="S142" s="1443"/>
      <c r="T142" s="1443"/>
      <c r="U142" s="1445"/>
      <c r="V142" s="273">
        <f t="shared" si="0"/>
        <v>0</v>
      </c>
      <c r="W142" s="274">
        <f t="shared" si="1"/>
        <v>0</v>
      </c>
      <c r="X142" s="419"/>
    </row>
    <row r="143" spans="1:38" s="156" customFormat="1" ht="14.25" customHeight="1">
      <c r="A143" s="1005">
        <f>+A141+1</f>
        <v>7</v>
      </c>
      <c r="B143" s="1008" t="s">
        <v>261</v>
      </c>
      <c r="C143" s="1011" t="s">
        <v>304</v>
      </c>
      <c r="D143" s="1014" t="s">
        <v>199</v>
      </c>
      <c r="E143" s="1199">
        <v>91.2</v>
      </c>
      <c r="F143" s="1193">
        <v>0.124</v>
      </c>
      <c r="G143" s="1194"/>
      <c r="H143" s="1195"/>
      <c r="I143" s="1201">
        <f>1.4/1000</f>
        <v>1.4E-3</v>
      </c>
      <c r="J143" s="1202"/>
      <c r="K143" s="1203"/>
      <c r="L143" s="339"/>
      <c r="M143" s="177"/>
      <c r="N143" s="545"/>
      <c r="O143" s="543"/>
      <c r="P143" s="545"/>
      <c r="Q143" s="544"/>
      <c r="R143" s="549">
        <f>F144+I144</f>
        <v>0.29429993399999999</v>
      </c>
      <c r="S143" s="987">
        <f>R143+R144</f>
        <v>0.640050864</v>
      </c>
      <c r="T143" s="987">
        <f>E143*S143</f>
        <v>58.372638796800004</v>
      </c>
      <c r="U143" s="1112">
        <f>R144*E143</f>
        <v>31.532484816000007</v>
      </c>
      <c r="V143" s="273">
        <f t="shared" si="0"/>
        <v>0.84994733705093717</v>
      </c>
      <c r="W143" s="274">
        <f t="shared" si="1"/>
        <v>77.515197139045469</v>
      </c>
      <c r="X143" s="419"/>
      <c r="Y143" s="239"/>
    </row>
    <row r="144" spans="1:38" s="156" customFormat="1" ht="17.25" customHeight="1">
      <c r="A144" s="1007"/>
      <c r="B144" s="1009"/>
      <c r="C144" s="1013"/>
      <c r="D144" s="1016"/>
      <c r="E144" s="1287"/>
      <c r="F144" s="1164">
        <f>F143*J$13/1000</f>
        <v>0.28978799999999999</v>
      </c>
      <c r="G144" s="1520"/>
      <c r="H144" s="1166"/>
      <c r="I144" s="1293">
        <f>I143*$Q$13/1000</f>
        <v>4.5119340000000004E-3</v>
      </c>
      <c r="J144" s="1544"/>
      <c r="K144" s="1295"/>
      <c r="L144" s="246" t="s">
        <v>262</v>
      </c>
      <c r="M144" s="250" t="s">
        <v>124</v>
      </c>
      <c r="N144" s="264">
        <v>1</v>
      </c>
      <c r="O144" s="265">
        <f>E143*N144</f>
        <v>91.2</v>
      </c>
      <c r="P144" s="243">
        <v>0.3</v>
      </c>
      <c r="Q144" s="233">
        <f>N144*P144*$N$11</f>
        <v>0.34575093000000007</v>
      </c>
      <c r="R144" s="547">
        <f>SUM(Q144:Q144)</f>
        <v>0.34575093000000007</v>
      </c>
      <c r="S144" s="988"/>
      <c r="T144" s="988"/>
      <c r="U144" s="1031"/>
      <c r="V144" s="273">
        <f t="shared" si="0"/>
        <v>0</v>
      </c>
      <c r="W144" s="274">
        <f t="shared" si="1"/>
        <v>0</v>
      </c>
      <c r="X144" s="419"/>
      <c r="Y144" s="239"/>
    </row>
    <row r="145" spans="1:39" s="413" customFormat="1" ht="14.25" customHeight="1">
      <c r="A145" s="1005">
        <f>+A143+1</f>
        <v>8</v>
      </c>
      <c r="B145" s="1008" t="s">
        <v>188</v>
      </c>
      <c r="C145" s="1587" t="s">
        <v>315</v>
      </c>
      <c r="D145" s="1588" t="s">
        <v>199</v>
      </c>
      <c r="E145" s="1189">
        <f>1623.6+974.2+559.3</f>
        <v>3157.1000000000004</v>
      </c>
      <c r="F145" s="1190">
        <f>0.001*14.8</f>
        <v>1.4800000000000001E-2</v>
      </c>
      <c r="G145" s="1191"/>
      <c r="H145" s="1192"/>
      <c r="I145" s="1193">
        <f>0.001*4.98</f>
        <v>4.9800000000000009E-3</v>
      </c>
      <c r="J145" s="1194"/>
      <c r="K145" s="1195"/>
      <c r="L145" s="339"/>
      <c r="M145" s="177"/>
      <c r="N145" s="404"/>
      <c r="O145" s="545"/>
      <c r="P145" s="558"/>
      <c r="Q145" s="544"/>
      <c r="R145" s="548">
        <f>F146+I146</f>
        <v>5.0637193800000008E-2</v>
      </c>
      <c r="S145" s="1020">
        <f>R145+R146</f>
        <v>0.67228043871043386</v>
      </c>
      <c r="T145" s="1020">
        <f>E145*S145</f>
        <v>2122.4565730527111</v>
      </c>
      <c r="U145" s="1196">
        <f>R146*E145</f>
        <v>1962.5898885067311</v>
      </c>
      <c r="V145" s="273">
        <f t="shared" si="0"/>
        <v>0.89274618748638868</v>
      </c>
      <c r="W145" s="274">
        <f t="shared" si="1"/>
        <v>2818.4889885132779</v>
      </c>
      <c r="X145" s="419"/>
      <c r="Y145" s="156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</row>
    <row r="146" spans="1:39" s="413" customFormat="1" ht="14.25" customHeight="1">
      <c r="A146" s="1006"/>
      <c r="B146" s="1009"/>
      <c r="C146" s="1587"/>
      <c r="D146" s="1588"/>
      <c r="E146" s="1189"/>
      <c r="F146" s="1020">
        <f>F145*J$13/1000</f>
        <v>3.4587600000000003E-2</v>
      </c>
      <c r="G146" s="1020"/>
      <c r="H146" s="1020"/>
      <c r="I146" s="1020">
        <f>I145*$Q$13/1000</f>
        <v>1.6049593800000005E-2</v>
      </c>
      <c r="J146" s="1020"/>
      <c r="K146" s="1020"/>
      <c r="L146" s="249" t="s">
        <v>189</v>
      </c>
      <c r="M146" s="250" t="s">
        <v>124</v>
      </c>
      <c r="N146" s="406">
        <v>1</v>
      </c>
      <c r="O146" s="252">
        <f>E145*N146</f>
        <v>3157.1000000000004</v>
      </c>
      <c r="P146" s="236">
        <f>4.833/9.02</f>
        <v>0.535809312638581</v>
      </c>
      <c r="Q146" s="253">
        <f>N146*P146*$N$11</f>
        <v>0.61752189382483391</v>
      </c>
      <c r="R146" s="1020">
        <f>SUM(Q146:Q147)</f>
        <v>0.62164324491043388</v>
      </c>
      <c r="S146" s="1020"/>
      <c r="T146" s="1020"/>
      <c r="U146" s="1196"/>
      <c r="V146" s="273">
        <f t="shared" si="0"/>
        <v>0</v>
      </c>
      <c r="W146" s="274">
        <f t="shared" si="1"/>
        <v>0</v>
      </c>
      <c r="X146" s="419"/>
      <c r="Y146" s="156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</row>
    <row r="147" spans="1:39" s="413" customFormat="1" ht="13.5" customHeight="1">
      <c r="A147" s="1007"/>
      <c r="B147" s="1010"/>
      <c r="C147" s="1587"/>
      <c r="D147" s="1588"/>
      <c r="E147" s="1189"/>
      <c r="F147" s="1020"/>
      <c r="G147" s="1020"/>
      <c r="H147" s="1020"/>
      <c r="I147" s="1020"/>
      <c r="J147" s="1020"/>
      <c r="K147" s="1020"/>
      <c r="L147" s="259" t="s">
        <v>190</v>
      </c>
      <c r="M147" s="260" t="s">
        <v>124</v>
      </c>
      <c r="N147" s="407">
        <v>4.0000000000000001E-3</v>
      </c>
      <c r="O147" s="237">
        <f>E145*N147</f>
        <v>12.628400000000001</v>
      </c>
      <c r="P147" s="411">
        <v>0.89400000000000002</v>
      </c>
      <c r="Q147" s="412">
        <f t="shared" ref="Q147" si="8">N147*P147*$N$11</f>
        <v>4.1213510856000016E-3</v>
      </c>
      <c r="R147" s="1020"/>
      <c r="S147" s="1020"/>
      <c r="T147" s="1020"/>
      <c r="U147" s="1196"/>
      <c r="V147" s="273">
        <f t="shared" si="0"/>
        <v>0</v>
      </c>
      <c r="W147" s="274">
        <f t="shared" si="1"/>
        <v>0</v>
      </c>
      <c r="X147" s="419"/>
      <c r="Y147" s="156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</row>
    <row r="148" spans="1:39" s="413" customFormat="1" ht="14.25" customHeight="1">
      <c r="A148" s="1005">
        <f>+A145+1</f>
        <v>9</v>
      </c>
      <c r="B148" s="1008" t="s">
        <v>188</v>
      </c>
      <c r="C148" s="1011" t="s">
        <v>205</v>
      </c>
      <c r="D148" s="1014" t="s">
        <v>199</v>
      </c>
      <c r="E148" s="1189">
        <f>64.8+408.24</f>
        <v>473.04</v>
      </c>
      <c r="F148" s="1190">
        <f>0.001*14.8</f>
        <v>1.4800000000000001E-2</v>
      </c>
      <c r="G148" s="1191"/>
      <c r="H148" s="1192"/>
      <c r="I148" s="1193">
        <f>0.001*4.98</f>
        <v>4.9800000000000009E-3</v>
      </c>
      <c r="J148" s="1194"/>
      <c r="K148" s="1195"/>
      <c r="L148" s="339"/>
      <c r="M148" s="177"/>
      <c r="N148" s="404"/>
      <c r="O148" s="545"/>
      <c r="P148" s="558"/>
      <c r="Q148" s="544"/>
      <c r="R148" s="548">
        <f>F149+I149</f>
        <v>5.0637193800000008E-2</v>
      </c>
      <c r="S148" s="1020">
        <f>R148+R149</f>
        <v>0.67732364538560008</v>
      </c>
      <c r="T148" s="1020">
        <f>E148*S148</f>
        <v>320.40117721320428</v>
      </c>
      <c r="U148" s="1196">
        <f>R149*E148</f>
        <v>296.44775905805227</v>
      </c>
      <c r="V148" s="273">
        <f t="shared" si="0"/>
        <v>0.89944324911828266</v>
      </c>
      <c r="W148" s="274">
        <f t="shared" si="1"/>
        <v>425.47263456291245</v>
      </c>
      <c r="X148" s="419"/>
      <c r="Y148" s="156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</row>
    <row r="149" spans="1:39" s="413" customFormat="1" ht="14.25" customHeight="1">
      <c r="A149" s="1006"/>
      <c r="B149" s="1009"/>
      <c r="C149" s="1012"/>
      <c r="D149" s="1015"/>
      <c r="E149" s="1189"/>
      <c r="F149" s="1020">
        <f>F148*J$13/1000</f>
        <v>3.4587600000000003E-2</v>
      </c>
      <c r="G149" s="1020"/>
      <c r="H149" s="1020"/>
      <c r="I149" s="1020">
        <f>I148*$Q$13/1000</f>
        <v>1.6049593800000005E-2</v>
      </c>
      <c r="J149" s="1020"/>
      <c r="K149" s="1020"/>
      <c r="L149" s="249" t="s">
        <v>189</v>
      </c>
      <c r="M149" s="250" t="s">
        <v>124</v>
      </c>
      <c r="N149" s="406">
        <v>1</v>
      </c>
      <c r="O149" s="252">
        <f>E148*N149</f>
        <v>473.04</v>
      </c>
      <c r="P149" s="236">
        <f>2.917/5.4</f>
        <v>0.5401851851851851</v>
      </c>
      <c r="Q149" s="253">
        <f>N149*P149*$N$11</f>
        <v>0.62256510050000013</v>
      </c>
      <c r="R149" s="1020">
        <f>SUM(Q149:Q150)</f>
        <v>0.6266864515856001</v>
      </c>
      <c r="S149" s="1020"/>
      <c r="T149" s="1020"/>
      <c r="U149" s="1196"/>
      <c r="V149" s="273">
        <f t="shared" si="0"/>
        <v>0</v>
      </c>
      <c r="W149" s="274">
        <f t="shared" si="1"/>
        <v>0</v>
      </c>
      <c r="X149" s="419"/>
      <c r="Y149" s="156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</row>
    <row r="150" spans="1:39" s="413" customFormat="1" ht="13.5" customHeight="1">
      <c r="A150" s="1007"/>
      <c r="B150" s="1010"/>
      <c r="C150" s="1013"/>
      <c r="D150" s="1016"/>
      <c r="E150" s="1189"/>
      <c r="F150" s="1020"/>
      <c r="G150" s="1020"/>
      <c r="H150" s="1020"/>
      <c r="I150" s="1020"/>
      <c r="J150" s="1020"/>
      <c r="K150" s="1020"/>
      <c r="L150" s="259" t="s">
        <v>190</v>
      </c>
      <c r="M150" s="260" t="s">
        <v>124</v>
      </c>
      <c r="N150" s="407">
        <v>4.0000000000000001E-3</v>
      </c>
      <c r="O150" s="237">
        <f>E148*N150</f>
        <v>1.8921600000000001</v>
      </c>
      <c r="P150" s="411">
        <v>0.89400000000000002</v>
      </c>
      <c r="Q150" s="412">
        <f t="shared" ref="Q150" si="9">N150*P150*$N$11</f>
        <v>4.1213510856000016E-3</v>
      </c>
      <c r="R150" s="1020"/>
      <c r="S150" s="1020"/>
      <c r="T150" s="1020"/>
      <c r="U150" s="1196"/>
      <c r="V150" s="273">
        <f t="shared" si="0"/>
        <v>0</v>
      </c>
      <c r="W150" s="274">
        <f t="shared" si="1"/>
        <v>0</v>
      </c>
      <c r="X150" s="419"/>
      <c r="Y150" s="156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</row>
    <row r="151" spans="1:39" s="413" customFormat="1" ht="14.25" customHeight="1">
      <c r="A151" s="1005">
        <f>+A148+1</f>
        <v>10</v>
      </c>
      <c r="B151" s="1008" t="s">
        <v>188</v>
      </c>
      <c r="C151" s="1114" t="s">
        <v>220</v>
      </c>
      <c r="D151" s="1014" t="s">
        <v>199</v>
      </c>
      <c r="E151" s="1550">
        <v>161</v>
      </c>
      <c r="F151" s="1190">
        <f>0.001*14.8</f>
        <v>1.4800000000000001E-2</v>
      </c>
      <c r="G151" s="1191"/>
      <c r="H151" s="1192"/>
      <c r="I151" s="1553">
        <f>0.001*4.98</f>
        <v>4.9800000000000009E-3</v>
      </c>
      <c r="J151" s="1554"/>
      <c r="K151" s="1555"/>
      <c r="L151" s="339"/>
      <c r="M151" s="177"/>
      <c r="N151" s="404"/>
      <c r="O151" s="545"/>
      <c r="P151" s="545"/>
      <c r="Q151" s="544"/>
      <c r="R151" s="548">
        <f>F152+I152</f>
        <v>5.0637193800000008E-2</v>
      </c>
      <c r="S151" s="1020">
        <f>R151+R152</f>
        <v>0.80938991469120014</v>
      </c>
      <c r="T151" s="1020">
        <f>E151*S151</f>
        <v>130.31177626528321</v>
      </c>
      <c r="U151" s="1196">
        <f>R152*E151</f>
        <v>122.15918806348323</v>
      </c>
      <c r="V151" s="273">
        <f t="shared" si="0"/>
        <v>1.074818957869059</v>
      </c>
      <c r="W151" s="274">
        <f t="shared" si="1"/>
        <v>173.04585221691849</v>
      </c>
      <c r="X151" s="419"/>
      <c r="Y151" s="156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</row>
    <row r="152" spans="1:39" s="413" customFormat="1" ht="13.5" customHeight="1">
      <c r="A152" s="1006"/>
      <c r="B152" s="1009"/>
      <c r="C152" s="1549"/>
      <c r="D152" s="1015"/>
      <c r="E152" s="1551"/>
      <c r="F152" s="1020">
        <f>F151*J$13/1000</f>
        <v>3.4587600000000003E-2</v>
      </c>
      <c r="G152" s="1020"/>
      <c r="H152" s="1020"/>
      <c r="I152" s="1020">
        <f>I151*$Q$13/1000</f>
        <v>1.6049593800000005E-2</v>
      </c>
      <c r="J152" s="1020"/>
      <c r="K152" s="1020"/>
      <c r="L152" s="249" t="s">
        <v>208</v>
      </c>
      <c r="M152" s="250" t="s">
        <v>124</v>
      </c>
      <c r="N152" s="406">
        <v>1</v>
      </c>
      <c r="O152" s="252">
        <f>E151*N152</f>
        <v>161</v>
      </c>
      <c r="P152" s="236">
        <v>0.65</v>
      </c>
      <c r="Q152" s="253">
        <f>N152*P152*$N$11</f>
        <v>0.74912701500000023</v>
      </c>
      <c r="R152" s="1020">
        <f>SUM(Q152:Q154)</f>
        <v>0.75875272089120016</v>
      </c>
      <c r="S152" s="1020"/>
      <c r="T152" s="1020"/>
      <c r="U152" s="1196"/>
      <c r="V152" s="273">
        <f t="shared" si="0"/>
        <v>0</v>
      </c>
      <c r="W152" s="274">
        <f t="shared" si="1"/>
        <v>0</v>
      </c>
      <c r="X152" s="419"/>
      <c r="Y152" s="156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</row>
    <row r="153" spans="1:39" s="413" customFormat="1" ht="13.5" customHeight="1">
      <c r="A153" s="1006"/>
      <c r="B153" s="1009"/>
      <c r="C153" s="1549"/>
      <c r="D153" s="1015"/>
      <c r="E153" s="1551"/>
      <c r="F153" s="1020"/>
      <c r="G153" s="1020"/>
      <c r="H153" s="1020"/>
      <c r="I153" s="1020"/>
      <c r="J153" s="1020"/>
      <c r="K153" s="1020"/>
      <c r="L153" s="259" t="s">
        <v>190</v>
      </c>
      <c r="M153" s="260" t="s">
        <v>124</v>
      </c>
      <c r="N153" s="407">
        <v>4.0000000000000001E-3</v>
      </c>
      <c r="O153" s="261">
        <f>E151*N153</f>
        <v>0.64400000000000002</v>
      </c>
      <c r="P153" s="237">
        <v>0.89400000000000002</v>
      </c>
      <c r="Q153" s="412">
        <f t="shared" ref="Q153:Q154" si="10">N153*P153*$N$11</f>
        <v>4.1213510856000016E-3</v>
      </c>
      <c r="R153" s="1020"/>
      <c r="S153" s="1020"/>
      <c r="T153" s="1020"/>
      <c r="U153" s="1196"/>
      <c r="V153" s="273">
        <f t="shared" si="0"/>
        <v>0</v>
      </c>
      <c r="W153" s="274">
        <f t="shared" si="1"/>
        <v>0</v>
      </c>
      <c r="X153" s="419"/>
      <c r="Y153" s="156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</row>
    <row r="154" spans="1:39" s="413" customFormat="1" ht="13.5" customHeight="1">
      <c r="A154" s="1007"/>
      <c r="B154" s="1010"/>
      <c r="C154" s="1115"/>
      <c r="D154" s="1016"/>
      <c r="E154" s="1552"/>
      <c r="F154" s="1020"/>
      <c r="G154" s="1020"/>
      <c r="H154" s="1020"/>
      <c r="I154" s="1020"/>
      <c r="J154" s="1020"/>
      <c r="K154" s="1020"/>
      <c r="L154" s="263" t="s">
        <v>209</v>
      </c>
      <c r="M154" s="254" t="s">
        <v>124</v>
      </c>
      <c r="N154" s="408">
        <v>4.0000000000000001E-3</v>
      </c>
      <c r="O154" s="256">
        <f>E151*N154</f>
        <v>0.64400000000000002</v>
      </c>
      <c r="P154" s="411">
        <v>1.194</v>
      </c>
      <c r="Q154" s="258">
        <f t="shared" si="10"/>
        <v>5.5043548056000011E-3</v>
      </c>
      <c r="R154" s="1020"/>
      <c r="S154" s="1020"/>
      <c r="T154" s="1020"/>
      <c r="U154" s="1196"/>
      <c r="V154" s="273">
        <f t="shared" si="0"/>
        <v>0</v>
      </c>
      <c r="W154" s="274">
        <f t="shared" si="1"/>
        <v>0</v>
      </c>
      <c r="X154" s="419"/>
      <c r="Y154" s="156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</row>
    <row r="155" spans="1:39" s="156" customFormat="1" ht="12.75" customHeight="1">
      <c r="A155" s="1005">
        <f>+A151+1</f>
        <v>11</v>
      </c>
      <c r="B155" s="1217" t="s">
        <v>127</v>
      </c>
      <c r="C155" s="1548" t="s">
        <v>306</v>
      </c>
      <c r="D155" s="1014" t="s">
        <v>195</v>
      </c>
      <c r="E155" s="1199">
        <v>418.7</v>
      </c>
      <c r="F155" s="1193">
        <f>4.1/100</f>
        <v>4.0999999999999995E-2</v>
      </c>
      <c r="G155" s="1194"/>
      <c r="H155" s="1195"/>
      <c r="I155" s="1193">
        <f>0.4/100</f>
        <v>4.0000000000000001E-3</v>
      </c>
      <c r="J155" s="1194"/>
      <c r="K155" s="1195"/>
      <c r="L155" s="266"/>
      <c r="M155" s="177"/>
      <c r="N155" s="545"/>
      <c r="O155" s="545"/>
      <c r="P155" s="545"/>
      <c r="Q155" s="544"/>
      <c r="R155" s="549">
        <f>F156+I156</f>
        <v>0.10870824</v>
      </c>
      <c r="S155" s="987">
        <f>R155+R156</f>
        <v>0.19148698858400004</v>
      </c>
      <c r="T155" s="987">
        <f>E155*S155</f>
        <v>80.175602120120814</v>
      </c>
      <c r="U155" s="1270">
        <f>R156*E155</f>
        <v>34.659462032120814</v>
      </c>
      <c r="V155" s="273">
        <f t="shared" si="0"/>
        <v>0.2542826909251294</v>
      </c>
      <c r="W155" s="274">
        <f t="shared" si="1"/>
        <v>106.46816269035168</v>
      </c>
      <c r="X155" s="419"/>
      <c r="Y155" s="239"/>
    </row>
    <row r="156" spans="1:39" s="156" customFormat="1" ht="12.75" customHeight="1">
      <c r="A156" s="1006"/>
      <c r="B156" s="1217"/>
      <c r="C156" s="1548"/>
      <c r="D156" s="1015"/>
      <c r="E156" s="1287"/>
      <c r="F156" s="1164">
        <f>F155*J$13/1000</f>
        <v>9.5816999999999999E-2</v>
      </c>
      <c r="G156" s="1520"/>
      <c r="H156" s="1166"/>
      <c r="I156" s="1164">
        <f>I155*$Q$13/1000</f>
        <v>1.289124E-2</v>
      </c>
      <c r="J156" s="1520"/>
      <c r="K156" s="1166"/>
      <c r="L156" s="342" t="s">
        <v>128</v>
      </c>
      <c r="M156" s="250" t="s">
        <v>124</v>
      </c>
      <c r="N156" s="265">
        <v>0.03</v>
      </c>
      <c r="O156" s="340">
        <f>E155*N156</f>
        <v>12.561</v>
      </c>
      <c r="P156" s="341">
        <f>0.542*2</f>
        <v>1.0840000000000001</v>
      </c>
      <c r="Q156" s="233">
        <f>N156*P156*$N$11</f>
        <v>3.7479400812000012E-2</v>
      </c>
      <c r="R156" s="987">
        <f>SUM(Q156:Q157)</f>
        <v>8.2778748584000028E-2</v>
      </c>
      <c r="S156" s="988"/>
      <c r="T156" s="988"/>
      <c r="U156" s="1270"/>
      <c r="V156" s="273">
        <f t="shared" si="0"/>
        <v>0</v>
      </c>
      <c r="W156" s="274">
        <f t="shared" si="1"/>
        <v>0</v>
      </c>
      <c r="X156" s="419"/>
      <c r="Y156" s="239"/>
    </row>
    <row r="157" spans="1:39" s="156" customFormat="1" ht="12">
      <c r="A157" s="1007"/>
      <c r="B157" s="1217"/>
      <c r="C157" s="1548"/>
      <c r="D157" s="1016"/>
      <c r="E157" s="1200"/>
      <c r="F157" s="1225"/>
      <c r="G157" s="1226"/>
      <c r="H157" s="1167"/>
      <c r="I157" s="1225"/>
      <c r="J157" s="1226"/>
      <c r="K157" s="1167"/>
      <c r="L157" s="343" t="s">
        <v>129</v>
      </c>
      <c r="M157" s="254" t="s">
        <v>124</v>
      </c>
      <c r="N157" s="255">
        <f>17.2/100</f>
        <v>0.17199999999999999</v>
      </c>
      <c r="O157" s="256">
        <f>E155*N157</f>
        <v>72.01639999999999</v>
      </c>
      <c r="P157" s="355">
        <f>0.617/2.7</f>
        <v>0.22851851851851851</v>
      </c>
      <c r="Q157" s="344">
        <f>N157*P157*$N$11</f>
        <v>4.5299347772000009E-2</v>
      </c>
      <c r="R157" s="989"/>
      <c r="S157" s="989"/>
      <c r="T157" s="989"/>
      <c r="U157" s="1270"/>
      <c r="V157" s="273">
        <f t="shared" si="0"/>
        <v>0</v>
      </c>
      <c r="W157" s="274">
        <f t="shared" si="1"/>
        <v>0</v>
      </c>
      <c r="X157" s="419"/>
      <c r="Y157" s="239"/>
    </row>
    <row r="158" spans="1:39" s="156" customFormat="1" ht="12.75" customHeight="1">
      <c r="A158" s="1291">
        <f>+A155+1</f>
        <v>12</v>
      </c>
      <c r="B158" s="1008" t="s">
        <v>147</v>
      </c>
      <c r="C158" s="1296" t="s">
        <v>307</v>
      </c>
      <c r="D158" s="1014" t="s">
        <v>195</v>
      </c>
      <c r="E158" s="1199">
        <f>+E155</f>
        <v>418.7</v>
      </c>
      <c r="F158" s="1193">
        <f>21.4/100</f>
        <v>0.214</v>
      </c>
      <c r="G158" s="1194"/>
      <c r="H158" s="1195"/>
      <c r="I158" s="1201">
        <f>0.03/100</f>
        <v>2.9999999999999997E-4</v>
      </c>
      <c r="J158" s="1202"/>
      <c r="K158" s="1203"/>
      <c r="L158" s="266"/>
      <c r="M158" s="177"/>
      <c r="N158" s="545"/>
      <c r="O158" s="545"/>
      <c r="P158" s="545"/>
      <c r="Q158" s="544"/>
      <c r="R158" s="549">
        <f>F159+I159</f>
        <v>0.501084843</v>
      </c>
      <c r="S158" s="987">
        <f>R158+R159</f>
        <v>0.89437652587500016</v>
      </c>
      <c r="T158" s="987">
        <f>E158*S158</f>
        <v>374.47545138386255</v>
      </c>
      <c r="U158" s="1270">
        <f>R159*E158</f>
        <v>164.67122761976256</v>
      </c>
      <c r="V158" s="273">
        <f t="shared" si="0"/>
        <v>1.1876758383507549</v>
      </c>
      <c r="W158" s="274">
        <f t="shared" si="1"/>
        <v>497.27987351746106</v>
      </c>
      <c r="X158" s="419"/>
    </row>
    <row r="159" spans="1:39" s="156" customFormat="1" ht="16.5" customHeight="1">
      <c r="A159" s="1292"/>
      <c r="B159" s="1010"/>
      <c r="C159" s="1297"/>
      <c r="D159" s="1016"/>
      <c r="E159" s="1200"/>
      <c r="F159" s="993">
        <f>F158*J$13/1000</f>
        <v>0.50011799999999995</v>
      </c>
      <c r="G159" s="994"/>
      <c r="H159" s="995"/>
      <c r="I159" s="1201">
        <f>I158*$Q$13/1000</f>
        <v>9.6684299999999989E-4</v>
      </c>
      <c r="J159" s="1202"/>
      <c r="K159" s="1203"/>
      <c r="L159" s="357" t="s">
        <v>130</v>
      </c>
      <c r="M159" s="243" t="s">
        <v>124</v>
      </c>
      <c r="N159" s="240">
        <f>27.3/100</f>
        <v>0.27300000000000002</v>
      </c>
      <c r="O159" s="340">
        <f>E158*N159</f>
        <v>114.30510000000001</v>
      </c>
      <c r="P159" s="240">
        <v>1.25</v>
      </c>
      <c r="Q159" s="245">
        <f>N159*P159*$N$11</f>
        <v>0.39329168287500016</v>
      </c>
      <c r="R159" s="546">
        <f>SUM(Q159:Q159)</f>
        <v>0.39329168287500016</v>
      </c>
      <c r="S159" s="989"/>
      <c r="T159" s="989"/>
      <c r="U159" s="1270"/>
      <c r="V159" s="273">
        <f t="shared" si="0"/>
        <v>0</v>
      </c>
      <c r="W159" s="274">
        <f t="shared" si="1"/>
        <v>0</v>
      </c>
      <c r="X159" s="419"/>
    </row>
    <row r="160" spans="1:39" s="209" customFormat="1" ht="21" customHeight="1">
      <c r="A160" s="1005">
        <f>+A158+1</f>
        <v>13</v>
      </c>
      <c r="B160" s="1008" t="s">
        <v>269</v>
      </c>
      <c r="C160" s="1586" t="s">
        <v>316</v>
      </c>
      <c r="D160" s="1542" t="s">
        <v>194</v>
      </c>
      <c r="E160" s="1055">
        <v>579</v>
      </c>
      <c r="F160" s="993">
        <v>0.33</v>
      </c>
      <c r="G160" s="994"/>
      <c r="H160" s="995"/>
      <c r="I160" s="993">
        <v>0.14000000000000001</v>
      </c>
      <c r="J160" s="994"/>
      <c r="K160" s="995"/>
      <c r="L160" s="267"/>
      <c r="M160" s="177"/>
      <c r="N160" s="545"/>
      <c r="O160" s="545"/>
      <c r="P160" s="268"/>
      <c r="Q160" s="551"/>
      <c r="R160" s="549">
        <f>F161+I161</f>
        <v>1.2224034000000001</v>
      </c>
      <c r="S160" s="987">
        <f>R160+R161</f>
        <v>9.4051754100000018</v>
      </c>
      <c r="T160" s="987">
        <f>E160*S160</f>
        <v>5445.5965623900011</v>
      </c>
      <c r="U160" s="1017">
        <f>E160*R161</f>
        <v>4737.8249937900018</v>
      </c>
      <c r="V160" s="273">
        <f t="shared" si="0"/>
        <v>12.489482076890779</v>
      </c>
      <c r="W160" s="274">
        <f t="shared" si="1"/>
        <v>7231.410122519761</v>
      </c>
      <c r="X160" s="419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</row>
    <row r="161" spans="1:39" s="209" customFormat="1" ht="21" customHeight="1">
      <c r="A161" s="1007"/>
      <c r="B161" s="1010"/>
      <c r="C161" s="1586"/>
      <c r="D161" s="1542"/>
      <c r="E161" s="1056"/>
      <c r="F161" s="993">
        <f>F160*$J$13/1000</f>
        <v>0.77121000000000006</v>
      </c>
      <c r="G161" s="994"/>
      <c r="H161" s="995"/>
      <c r="I161" s="993">
        <f>I160*$Q$13/1000</f>
        <v>0.45119340000000008</v>
      </c>
      <c r="J161" s="994"/>
      <c r="K161" s="995"/>
      <c r="L161" s="248" t="s">
        <v>270</v>
      </c>
      <c r="M161" s="243" t="s">
        <v>116</v>
      </c>
      <c r="N161" s="244">
        <v>1</v>
      </c>
      <c r="O161" s="247">
        <f>E160*N161</f>
        <v>579</v>
      </c>
      <c r="P161" s="240">
        <v>7.1</v>
      </c>
      <c r="Q161" s="245">
        <f>N161*P161*$N$11</f>
        <v>8.1827720100000025</v>
      </c>
      <c r="R161" s="546">
        <f>SUM(Q161:Q161)</f>
        <v>8.1827720100000025</v>
      </c>
      <c r="S161" s="989"/>
      <c r="T161" s="989"/>
      <c r="U161" s="1019"/>
      <c r="V161" s="273">
        <f t="shared" si="0"/>
        <v>0</v>
      </c>
      <c r="W161" s="274">
        <f t="shared" si="1"/>
        <v>0</v>
      </c>
      <c r="X161" s="419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</row>
    <row r="162" spans="1:39" s="209" customFormat="1" ht="21" customHeight="1">
      <c r="A162" s="1005">
        <f t="shared" ref="A162" si="11">+A160+1</f>
        <v>14</v>
      </c>
      <c r="B162" s="1008" t="s">
        <v>163</v>
      </c>
      <c r="C162" s="1545" t="s">
        <v>317</v>
      </c>
      <c r="D162" s="1014" t="s">
        <v>194</v>
      </c>
      <c r="E162" s="1055">
        <v>148</v>
      </c>
      <c r="F162" s="993">
        <v>0.27</v>
      </c>
      <c r="G162" s="994"/>
      <c r="H162" s="995"/>
      <c r="I162" s="993">
        <v>0.17</v>
      </c>
      <c r="J162" s="994"/>
      <c r="K162" s="995"/>
      <c r="L162" s="267"/>
      <c r="M162" s="177"/>
      <c r="N162" s="545"/>
      <c r="O162" s="545"/>
      <c r="P162" s="268"/>
      <c r="Q162" s="551"/>
      <c r="R162" s="549">
        <f>F163+I163</f>
        <v>1.1788677000000001</v>
      </c>
      <c r="S162" s="987">
        <f>R162+R163</f>
        <v>5.1192757989000013</v>
      </c>
      <c r="T162" s="987">
        <f>E162*S162</f>
        <v>757.65281823720022</v>
      </c>
      <c r="U162" s="1017">
        <f>E162*R163</f>
        <v>583.18039863720014</v>
      </c>
      <c r="V162" s="273">
        <f t="shared" si="0"/>
        <v>6.7980766492713691</v>
      </c>
      <c r="W162" s="274">
        <f t="shared" si="1"/>
        <v>1006.1153440921627</v>
      </c>
      <c r="X162" s="419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</row>
    <row r="163" spans="1:39" s="209" customFormat="1" ht="21" customHeight="1">
      <c r="A163" s="1007"/>
      <c r="B163" s="1010"/>
      <c r="C163" s="1546"/>
      <c r="D163" s="1016"/>
      <c r="E163" s="1056"/>
      <c r="F163" s="993">
        <f>F162*$J$13/1000</f>
        <v>0.63099000000000005</v>
      </c>
      <c r="G163" s="994"/>
      <c r="H163" s="995"/>
      <c r="I163" s="993">
        <f>I162*$Q$13/1000</f>
        <v>0.54787770000000002</v>
      </c>
      <c r="J163" s="994"/>
      <c r="K163" s="995"/>
      <c r="L163" s="248" t="s">
        <v>271</v>
      </c>
      <c r="M163" s="243" t="s">
        <v>116</v>
      </c>
      <c r="N163" s="244">
        <v>1</v>
      </c>
      <c r="O163" s="247">
        <f>E162*N163</f>
        <v>148</v>
      </c>
      <c r="P163" s="240">
        <v>3.419</v>
      </c>
      <c r="Q163" s="245">
        <f>N163*P163*$N$11</f>
        <v>3.9404080989000012</v>
      </c>
      <c r="R163" s="546">
        <f>SUM(Q163:Q163)</f>
        <v>3.9404080989000012</v>
      </c>
      <c r="S163" s="989"/>
      <c r="T163" s="989"/>
      <c r="U163" s="1019"/>
      <c r="V163" s="273">
        <f t="shared" si="0"/>
        <v>0</v>
      </c>
      <c r="W163" s="274">
        <f t="shared" si="1"/>
        <v>0</v>
      </c>
      <c r="X163" s="419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</row>
    <row r="164" spans="1:39" s="532" customFormat="1" ht="16.5" customHeight="1">
      <c r="A164" s="1162">
        <f t="shared" ref="A164" si="12">+A162+1</f>
        <v>15</v>
      </c>
      <c r="B164" s="1168" t="s">
        <v>272</v>
      </c>
      <c r="C164" s="1053" t="s">
        <v>318</v>
      </c>
      <c r="D164" s="1014" t="s">
        <v>197</v>
      </c>
      <c r="E164" s="1170">
        <v>2</v>
      </c>
      <c r="F164" s="1126">
        <v>0.44</v>
      </c>
      <c r="G164" s="1127"/>
      <c r="H164" s="1128"/>
      <c r="I164" s="1126">
        <v>0.6</v>
      </c>
      <c r="J164" s="1127"/>
      <c r="K164" s="1128"/>
      <c r="L164" s="526"/>
      <c r="M164" s="527"/>
      <c r="N164" s="528"/>
      <c r="O164" s="528"/>
      <c r="P164" s="529"/>
      <c r="Q164" s="530"/>
      <c r="R164" s="531">
        <f>F165+I165</f>
        <v>2.9619660000000003</v>
      </c>
      <c r="S164" s="1118">
        <f>R164+R165</f>
        <v>12.758242350000003</v>
      </c>
      <c r="T164" s="1118">
        <f>E164*S164</f>
        <v>25.516484700000007</v>
      </c>
      <c r="U164" s="1120">
        <f>+R165*E164</f>
        <v>19.592552700000006</v>
      </c>
      <c r="V164" s="273">
        <f t="shared" si="0"/>
        <v>16.94214432125662</v>
      </c>
      <c r="W164" s="274">
        <f t="shared" si="1"/>
        <v>33.884288642513241</v>
      </c>
      <c r="X164" s="419"/>
    </row>
    <row r="165" spans="1:39" s="532" customFormat="1" ht="16.5" customHeight="1">
      <c r="A165" s="1163"/>
      <c r="B165" s="1169"/>
      <c r="C165" s="1286"/>
      <c r="D165" s="1015"/>
      <c r="E165" s="1171"/>
      <c r="F165" s="1126">
        <f>F164*$J$13/1000</f>
        <v>1.0282800000000001</v>
      </c>
      <c r="G165" s="1127"/>
      <c r="H165" s="1128"/>
      <c r="I165" s="1126">
        <f>I164*$Q$13/1000</f>
        <v>1.933686</v>
      </c>
      <c r="J165" s="1127"/>
      <c r="K165" s="1128"/>
      <c r="L165" s="533" t="s">
        <v>273</v>
      </c>
      <c r="M165" s="534" t="s">
        <v>164</v>
      </c>
      <c r="N165" s="535">
        <v>1</v>
      </c>
      <c r="O165" s="536">
        <f>E164*N165</f>
        <v>2</v>
      </c>
      <c r="P165" s="467">
        <v>8.5</v>
      </c>
      <c r="Q165" s="537">
        <f>N165*P165*$N$11</f>
        <v>9.796276350000003</v>
      </c>
      <c r="R165" s="538">
        <f>+Q165</f>
        <v>9.796276350000003</v>
      </c>
      <c r="S165" s="1119"/>
      <c r="T165" s="1119"/>
      <c r="U165" s="1121"/>
      <c r="V165" s="273">
        <f t="shared" si="0"/>
        <v>0</v>
      </c>
      <c r="W165" s="274">
        <f t="shared" si="1"/>
        <v>0</v>
      </c>
      <c r="X165" s="419"/>
    </row>
    <row r="166" spans="1:39" s="209" customFormat="1" ht="16.5" customHeight="1">
      <c r="A166" s="1584">
        <f t="shared" ref="A166" si="13">+A164+1</f>
        <v>16</v>
      </c>
      <c r="B166" s="1008" t="s">
        <v>274</v>
      </c>
      <c r="C166" s="1053" t="s">
        <v>319</v>
      </c>
      <c r="D166" s="1014" t="s">
        <v>197</v>
      </c>
      <c r="E166" s="1055">
        <v>1</v>
      </c>
      <c r="F166" s="1164">
        <v>1.74</v>
      </c>
      <c r="G166" s="1520"/>
      <c r="H166" s="1166"/>
      <c r="I166" s="1164">
        <v>1.23</v>
      </c>
      <c r="J166" s="1520"/>
      <c r="K166" s="1166"/>
      <c r="L166" s="336"/>
      <c r="M166" s="177"/>
      <c r="N166" s="539"/>
      <c r="O166" s="539"/>
      <c r="P166" s="466"/>
      <c r="Q166" s="544"/>
      <c r="R166" s="549">
        <f>F167+I167</f>
        <v>8.0304362999999999</v>
      </c>
      <c r="S166" s="987">
        <f>R166+R167</f>
        <v>331.07359772070015</v>
      </c>
      <c r="T166" s="987">
        <f>E166*S166</f>
        <v>331.07359772070015</v>
      </c>
      <c r="U166" s="1166">
        <f>R167*E166</f>
        <v>323.04316142070013</v>
      </c>
      <c r="V166" s="465">
        <f>+$V$14*(S166-P167)</f>
        <v>67.428131801124721</v>
      </c>
      <c r="W166" s="274">
        <f t="shared" si="1"/>
        <v>67.428131801124721</v>
      </c>
      <c r="X166" s="419"/>
    </row>
    <row r="167" spans="1:39" s="209" customFormat="1" ht="16.5" customHeight="1">
      <c r="A167" s="1585"/>
      <c r="B167" s="1010"/>
      <c r="C167" s="1286"/>
      <c r="D167" s="1015"/>
      <c r="E167" s="1056"/>
      <c r="F167" s="993">
        <f>F166*$J$13/1000</f>
        <v>4.0663800000000005</v>
      </c>
      <c r="G167" s="994"/>
      <c r="H167" s="995"/>
      <c r="I167" s="993">
        <f>I166*$Q$13/1000</f>
        <v>3.9640562999999998</v>
      </c>
      <c r="J167" s="994"/>
      <c r="K167" s="995"/>
      <c r="L167" s="540" t="s">
        <v>275</v>
      </c>
      <c r="M167" s="243" t="s">
        <v>164</v>
      </c>
      <c r="N167" s="541">
        <v>1</v>
      </c>
      <c r="O167" s="542">
        <f>E166*N167</f>
        <v>1</v>
      </c>
      <c r="P167" s="240">
        <f>280.297</f>
        <v>280.29700000000003</v>
      </c>
      <c r="Q167" s="245">
        <f>N167*P167*$N$11</f>
        <v>323.04316142070013</v>
      </c>
      <c r="R167" s="549">
        <f>SUM(Q167:Q167)</f>
        <v>323.04316142070013</v>
      </c>
      <c r="S167" s="989"/>
      <c r="T167" s="989"/>
      <c r="U167" s="1167"/>
      <c r="V167" s="273">
        <f t="shared" si="0"/>
        <v>0</v>
      </c>
      <c r="W167" s="274">
        <f t="shared" si="1"/>
        <v>0</v>
      </c>
      <c r="X167" s="419"/>
    </row>
    <row r="168" spans="1:39" s="156" customFormat="1" ht="17.25" customHeight="1">
      <c r="A168" s="1291">
        <f>+A162+1</f>
        <v>15</v>
      </c>
      <c r="B168" s="1008" t="s">
        <v>148</v>
      </c>
      <c r="C168" s="1053" t="s">
        <v>198</v>
      </c>
      <c r="D168" s="1014" t="s">
        <v>199</v>
      </c>
      <c r="E168" s="1199">
        <f>3.2+254.6+9+8.6+0.9+1.2</f>
        <v>277.5</v>
      </c>
      <c r="F168" s="1293">
        <f>0.001*190</f>
        <v>0.19</v>
      </c>
      <c r="G168" s="1544"/>
      <c r="H168" s="1295"/>
      <c r="I168" s="1293">
        <f>0.001*162</f>
        <v>0.16200000000000001</v>
      </c>
      <c r="J168" s="1544"/>
      <c r="K168" s="1295"/>
      <c r="L168" s="336"/>
      <c r="M168" s="177"/>
      <c r="N168" s="545"/>
      <c r="O168" s="545"/>
      <c r="P168" s="545"/>
      <c r="Q168" s="544"/>
      <c r="R168" s="549">
        <f>F169+I169</f>
        <v>0.96612522000000012</v>
      </c>
      <c r="S168" s="987">
        <f>R168+R169</f>
        <v>2.3491289400000004</v>
      </c>
      <c r="T168" s="987">
        <f>E168*S168</f>
        <v>651.88328085000012</v>
      </c>
      <c r="U168" s="1112">
        <f>R169*E168</f>
        <v>383.78353230000005</v>
      </c>
      <c r="V168" s="273">
        <f t="shared" si="0"/>
        <v>3.1194956514304324</v>
      </c>
      <c r="W168" s="274">
        <f t="shared" si="1"/>
        <v>865.66004327194503</v>
      </c>
      <c r="X168" s="419"/>
      <c r="Y168" s="239"/>
    </row>
    <row r="169" spans="1:39" s="156" customFormat="1" ht="17.25" customHeight="1">
      <c r="A169" s="1292"/>
      <c r="B169" s="1010"/>
      <c r="C169" s="1054"/>
      <c r="D169" s="1016"/>
      <c r="E169" s="1200"/>
      <c r="F169" s="993">
        <f>F168*J$13/1000</f>
        <v>0.44403000000000004</v>
      </c>
      <c r="G169" s="994"/>
      <c r="H169" s="995"/>
      <c r="I169" s="993">
        <f>I168*$Q$13/1000</f>
        <v>0.52209522000000008</v>
      </c>
      <c r="J169" s="994"/>
      <c r="K169" s="995"/>
      <c r="L169" s="337" t="s">
        <v>149</v>
      </c>
      <c r="M169" s="243" t="s">
        <v>124</v>
      </c>
      <c r="N169" s="338">
        <v>1</v>
      </c>
      <c r="O169" s="247">
        <f>E168*N169</f>
        <v>277.5</v>
      </c>
      <c r="P169" s="240">
        <v>1.2</v>
      </c>
      <c r="Q169" s="245">
        <f>N169*P169*$N$11</f>
        <v>1.3830037200000003</v>
      </c>
      <c r="R169" s="549">
        <f>SUM(Q169:Q169)</f>
        <v>1.3830037200000003</v>
      </c>
      <c r="S169" s="989"/>
      <c r="T169" s="989"/>
      <c r="U169" s="1113"/>
      <c r="V169" s="273">
        <f t="shared" si="0"/>
        <v>0</v>
      </c>
      <c r="W169" s="274">
        <f t="shared" si="1"/>
        <v>0</v>
      </c>
      <c r="X169" s="419"/>
      <c r="Y169" s="239"/>
    </row>
    <row r="170" spans="1:39" s="413" customFormat="1" ht="15" customHeight="1">
      <c r="A170" s="1539">
        <f>+A168+1</f>
        <v>16</v>
      </c>
      <c r="B170" s="1540" t="s">
        <v>276</v>
      </c>
      <c r="C170" s="1541" t="s">
        <v>320</v>
      </c>
      <c r="D170" s="1542" t="s">
        <v>197</v>
      </c>
      <c r="E170" s="1543">
        <v>1</v>
      </c>
      <c r="F170" s="1027">
        <f>0.6*0.33*11</f>
        <v>2.1779999999999999</v>
      </c>
      <c r="G170" s="1027"/>
      <c r="H170" s="1027"/>
      <c r="I170" s="1027">
        <f>0.6*0.14*11</f>
        <v>0.92400000000000004</v>
      </c>
      <c r="J170" s="1027"/>
      <c r="K170" s="1027"/>
      <c r="L170" s="266"/>
      <c r="M170" s="177"/>
      <c r="N170" s="545"/>
      <c r="O170" s="545"/>
      <c r="P170" s="545"/>
      <c r="Q170" s="544"/>
      <c r="R170" s="548">
        <f>F171+I171</f>
        <v>8.067862439999999</v>
      </c>
      <c r="S170" s="1020">
        <f>R170+R171</f>
        <v>9.6003496050706474</v>
      </c>
      <c r="T170" s="1020">
        <f>E170*S170</f>
        <v>9.6003496050706474</v>
      </c>
      <c r="U170" s="1020">
        <f>R171*E170</f>
        <v>1.532487165070648</v>
      </c>
      <c r="V170" s="273">
        <f t="shared" si="0"/>
        <v>12.748661146386349</v>
      </c>
      <c r="W170" s="274">
        <f t="shared" si="1"/>
        <v>12.748661146386349</v>
      </c>
      <c r="X170" s="419"/>
      <c r="Y170" s="156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</row>
    <row r="171" spans="1:39" s="413" customFormat="1" ht="15" customHeight="1">
      <c r="A171" s="1539"/>
      <c r="B171" s="1540"/>
      <c r="C171" s="1541"/>
      <c r="D171" s="1542"/>
      <c r="E171" s="1543"/>
      <c r="F171" s="1020">
        <f>F170*J$13/1000</f>
        <v>5.0899859999999997</v>
      </c>
      <c r="G171" s="1020"/>
      <c r="H171" s="1020"/>
      <c r="I171" s="1020">
        <f>I170*$Q$13/1000</f>
        <v>2.9778764400000002</v>
      </c>
      <c r="J171" s="1020"/>
      <c r="K171" s="1020"/>
      <c r="L171" s="342" t="s">
        <v>239</v>
      </c>
      <c r="M171" s="250" t="s">
        <v>184</v>
      </c>
      <c r="N171" s="265">
        <f>0.133*3.14*115.05/1000</f>
        <v>4.8047181000000001E-2</v>
      </c>
      <c r="O171" s="340">
        <f>E170*N171</f>
        <v>4.8047181000000001E-2</v>
      </c>
      <c r="P171" s="236">
        <v>0.45800000000000002</v>
      </c>
      <c r="Q171" s="233">
        <f>N171*P171*$N$11</f>
        <v>2.5361532472332592E-2</v>
      </c>
      <c r="R171" s="1020">
        <f>SUM(Q171:Q172)</f>
        <v>1.532487165070648</v>
      </c>
      <c r="S171" s="1020"/>
      <c r="T171" s="1020"/>
      <c r="U171" s="1020"/>
      <c r="V171" s="273">
        <f t="shared" si="0"/>
        <v>0</v>
      </c>
      <c r="W171" s="274">
        <f t="shared" si="1"/>
        <v>0</v>
      </c>
      <c r="X171" s="419"/>
      <c r="Y171" s="156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</row>
    <row r="172" spans="1:39" s="413" customFormat="1" ht="15" customHeight="1">
      <c r="A172" s="1539"/>
      <c r="B172" s="1540"/>
      <c r="C172" s="1541"/>
      <c r="D172" s="1542"/>
      <c r="E172" s="1543"/>
      <c r="F172" s="1020"/>
      <c r="G172" s="1020"/>
      <c r="H172" s="1020"/>
      <c r="I172" s="1020"/>
      <c r="J172" s="1020"/>
      <c r="K172" s="1020"/>
      <c r="L172" s="343" t="s">
        <v>264</v>
      </c>
      <c r="M172" s="254" t="s">
        <v>265</v>
      </c>
      <c r="N172" s="255">
        <f>0.133*3.14*14.43</f>
        <v>6.0262566000000009</v>
      </c>
      <c r="O172" s="256">
        <f>E170*N172</f>
        <v>6.0262566000000009</v>
      </c>
      <c r="P172" s="355">
        <v>0.217</v>
      </c>
      <c r="Q172" s="344">
        <f>N172*P172*$N$11</f>
        <v>1.5071256325983153</v>
      </c>
      <c r="R172" s="1020"/>
      <c r="S172" s="1020"/>
      <c r="T172" s="1020"/>
      <c r="U172" s="1020"/>
      <c r="V172" s="273">
        <f t="shared" si="0"/>
        <v>0</v>
      </c>
      <c r="W172" s="274">
        <f t="shared" si="1"/>
        <v>0</v>
      </c>
      <c r="X172" s="419"/>
      <c r="Y172" s="156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</row>
    <row r="173" spans="1:39" s="155" customFormat="1" ht="12.75" customHeight="1">
      <c r="A173" s="1005">
        <f>+A170+1</f>
        <v>17</v>
      </c>
      <c r="B173" s="1008" t="s">
        <v>125</v>
      </c>
      <c r="C173" s="1053" t="s">
        <v>196</v>
      </c>
      <c r="D173" s="1014" t="s">
        <v>194</v>
      </c>
      <c r="E173" s="1199">
        <v>540</v>
      </c>
      <c r="F173" s="1193">
        <f>0.001*5</f>
        <v>5.0000000000000001E-3</v>
      </c>
      <c r="G173" s="1194"/>
      <c r="H173" s="1195"/>
      <c r="I173" s="993">
        <f>0.001*20</f>
        <v>0.02</v>
      </c>
      <c r="J173" s="994"/>
      <c r="K173" s="995"/>
      <c r="L173" s="336"/>
      <c r="M173" s="177"/>
      <c r="N173" s="545"/>
      <c r="O173" s="545"/>
      <c r="P173" s="545"/>
      <c r="Q173" s="544"/>
      <c r="R173" s="549">
        <f>F174+I174</f>
        <v>7.6141199999999992E-2</v>
      </c>
      <c r="S173" s="987">
        <f>R173+R174</f>
        <v>0.1068623226336</v>
      </c>
      <c r="T173" s="987">
        <f>E173*S173</f>
        <v>57.705654222143998</v>
      </c>
      <c r="U173" s="1112">
        <f>R174*E173</f>
        <v>16.589406222144007</v>
      </c>
      <c r="V173" s="273">
        <f t="shared" si="0"/>
        <v>0.14190645097466256</v>
      </c>
      <c r="W173" s="274">
        <f t="shared" si="1"/>
        <v>76.629483526317784</v>
      </c>
      <c r="X173" s="419"/>
    </row>
    <row r="174" spans="1:39" s="155" customFormat="1" ht="12.75" customHeight="1">
      <c r="A174" s="1007"/>
      <c r="B174" s="1010"/>
      <c r="C174" s="1054"/>
      <c r="D174" s="1016"/>
      <c r="E174" s="1200"/>
      <c r="F174" s="1193">
        <f>F173*J$13/1000</f>
        <v>1.1685000000000001E-2</v>
      </c>
      <c r="G174" s="1194"/>
      <c r="H174" s="1195"/>
      <c r="I174" s="1193">
        <f>I173*$Q$13/1000</f>
        <v>6.4456199999999991E-2</v>
      </c>
      <c r="J174" s="1194"/>
      <c r="K174" s="1195"/>
      <c r="L174" s="337" t="s">
        <v>83</v>
      </c>
      <c r="M174" s="243" t="s">
        <v>126</v>
      </c>
      <c r="N174" s="244">
        <v>1E-3</v>
      </c>
      <c r="O174" s="247">
        <f>E173*N174</f>
        <v>0.54</v>
      </c>
      <c r="P174" s="240">
        <v>26.655999999999999</v>
      </c>
      <c r="Q174" s="245">
        <f>N174*P174*$N$11</f>
        <v>3.0721122633600009E-2</v>
      </c>
      <c r="R174" s="546">
        <f>Q174</f>
        <v>3.0721122633600009E-2</v>
      </c>
      <c r="S174" s="989"/>
      <c r="T174" s="989"/>
      <c r="U174" s="1113"/>
      <c r="V174" s="273">
        <f t="shared" si="0"/>
        <v>0</v>
      </c>
      <c r="W174" s="274">
        <f t="shared" si="1"/>
        <v>0</v>
      </c>
      <c r="X174" s="419"/>
    </row>
    <row r="175" spans="1:39" s="428" customFormat="1" ht="15" customHeight="1">
      <c r="A175" s="504"/>
      <c r="C175" s="557" t="s">
        <v>221</v>
      </c>
      <c r="D175" s="424"/>
      <c r="E175" s="425">
        <v>1</v>
      </c>
      <c r="F175" s="1537" t="s">
        <v>210</v>
      </c>
      <c r="G175" s="1537"/>
      <c r="H175" s="1537"/>
      <c r="I175" s="1537"/>
      <c r="J175" s="1537"/>
      <c r="K175" s="1537"/>
      <c r="L175" s="1537"/>
      <c r="M175" s="426"/>
      <c r="N175" s="426"/>
      <c r="O175" s="426"/>
      <c r="P175" s="425"/>
      <c r="Q175" s="425"/>
      <c r="R175" s="425"/>
      <c r="S175" s="425"/>
      <c r="T175" s="425"/>
      <c r="U175" s="427">
        <f>+E175</f>
        <v>1</v>
      </c>
      <c r="V175" s="273">
        <f t="shared" si="0"/>
        <v>0</v>
      </c>
      <c r="W175" s="274">
        <f t="shared" si="1"/>
        <v>0</v>
      </c>
      <c r="X175" s="419"/>
    </row>
    <row r="176" spans="1:39" s="433" customFormat="1" ht="12.75">
      <c r="A176" s="1300">
        <v>1</v>
      </c>
      <c r="B176" s="1529" t="s">
        <v>211</v>
      </c>
      <c r="C176" s="1538" t="s">
        <v>200</v>
      </c>
      <c r="D176" s="1531" t="s">
        <v>201</v>
      </c>
      <c r="E176" s="1533">
        <f>2.5*E175</f>
        <v>2.5</v>
      </c>
      <c r="F176" s="1526">
        <f>0.01*194</f>
        <v>1.94</v>
      </c>
      <c r="G176" s="1526"/>
      <c r="H176" s="1526"/>
      <c r="I176" s="1527">
        <v>0</v>
      </c>
      <c r="J176" s="1527"/>
      <c r="K176" s="1527"/>
      <c r="L176" s="429"/>
      <c r="M176" s="430"/>
      <c r="N176" s="430"/>
      <c r="O176" s="430"/>
      <c r="P176" s="431"/>
      <c r="Q176" s="432"/>
      <c r="R176" s="1522">
        <f>F177+I177</f>
        <v>4.5337800000000001</v>
      </c>
      <c r="S176" s="1522">
        <f>R176+R177</f>
        <v>4.5337800000000001</v>
      </c>
      <c r="T176" s="1522">
        <f>E176*S176</f>
        <v>11.33445</v>
      </c>
      <c r="U176" s="1524"/>
      <c r="V176" s="273">
        <f t="shared" si="0"/>
        <v>6.0205750113240972</v>
      </c>
      <c r="W176" s="274">
        <f t="shared" si="1"/>
        <v>15.051437528310244</v>
      </c>
      <c r="X176" s="419"/>
    </row>
    <row r="177" spans="1:25" s="433" customFormat="1" ht="12.75">
      <c r="A177" s="1528"/>
      <c r="B177" s="1530"/>
      <c r="C177" s="1538"/>
      <c r="D177" s="1532"/>
      <c r="E177" s="1534"/>
      <c r="F177" s="1526">
        <f>F176*$J$13/1000</f>
        <v>4.5337800000000001</v>
      </c>
      <c r="G177" s="1526"/>
      <c r="H177" s="1526"/>
      <c r="I177" s="1527">
        <f>I176*$Q$13/1000</f>
        <v>0</v>
      </c>
      <c r="J177" s="1527"/>
      <c r="K177" s="1527"/>
      <c r="L177" s="434"/>
      <c r="M177" s="435"/>
      <c r="N177" s="435"/>
      <c r="O177" s="435" t="s">
        <v>20</v>
      </c>
      <c r="P177" s="436"/>
      <c r="Q177" s="437"/>
      <c r="R177" s="1523"/>
      <c r="S177" s="1523"/>
      <c r="T177" s="1523"/>
      <c r="U177" s="1525"/>
      <c r="V177" s="273">
        <f t="shared" si="0"/>
        <v>0</v>
      </c>
      <c r="W177" s="274">
        <f t="shared" si="1"/>
        <v>0</v>
      </c>
      <c r="X177" s="419"/>
    </row>
    <row r="178" spans="1:25" s="433" customFormat="1" ht="12.75">
      <c r="A178" s="1300">
        <f>+A176+1</f>
        <v>2</v>
      </c>
      <c r="B178" s="1529" t="s">
        <v>212</v>
      </c>
      <c r="C178" s="1180" t="s">
        <v>222</v>
      </c>
      <c r="D178" s="1531" t="s">
        <v>201</v>
      </c>
      <c r="E178" s="1533">
        <f>+E176</f>
        <v>2.5</v>
      </c>
      <c r="F178" s="1526">
        <f>0.01*66.4</f>
        <v>0.66400000000000003</v>
      </c>
      <c r="G178" s="1526"/>
      <c r="H178" s="1526"/>
      <c r="I178" s="1535"/>
      <c r="J178" s="1535"/>
      <c r="K178" s="1535"/>
      <c r="L178" s="438"/>
      <c r="M178" s="439"/>
      <c r="N178" s="440"/>
      <c r="O178" s="440"/>
      <c r="P178" s="441"/>
      <c r="Q178" s="442"/>
      <c r="R178" s="1522">
        <f>F179+I179</f>
        <v>1.551768</v>
      </c>
      <c r="S178" s="1522">
        <f>R178+R179</f>
        <v>1.551768</v>
      </c>
      <c r="T178" s="1522">
        <f>E178*S178</f>
        <v>3.8794200000000001</v>
      </c>
      <c r="U178" s="443"/>
      <c r="V178" s="273">
        <f t="shared" si="0"/>
        <v>2.0606504162470105</v>
      </c>
      <c r="W178" s="274">
        <f t="shared" si="1"/>
        <v>5.1516260406175265</v>
      </c>
      <c r="X178" s="419"/>
    </row>
    <row r="179" spans="1:25" s="433" customFormat="1" ht="10.5" customHeight="1">
      <c r="A179" s="1528"/>
      <c r="B179" s="1530"/>
      <c r="C179" s="1181"/>
      <c r="D179" s="1532"/>
      <c r="E179" s="1534"/>
      <c r="F179" s="1526">
        <f>F178*$J$13/1000</f>
        <v>1.551768</v>
      </c>
      <c r="G179" s="1526"/>
      <c r="H179" s="1526"/>
      <c r="I179" s="1536"/>
      <c r="J179" s="1536"/>
      <c r="K179" s="1536"/>
      <c r="L179" s="434"/>
      <c r="M179" s="444"/>
      <c r="N179" s="445"/>
      <c r="O179" s="445"/>
      <c r="P179" s="436"/>
      <c r="Q179" s="446"/>
      <c r="R179" s="1523"/>
      <c r="S179" s="1523"/>
      <c r="T179" s="1523"/>
      <c r="U179" s="447"/>
      <c r="V179" s="273">
        <f t="shared" si="0"/>
        <v>0</v>
      </c>
      <c r="W179" s="274">
        <f t="shared" si="1"/>
        <v>0</v>
      </c>
      <c r="X179" s="419"/>
    </row>
    <row r="180" spans="1:25" s="156" customFormat="1" ht="12">
      <c r="A180" s="1005">
        <f>+A178+1</f>
        <v>3</v>
      </c>
      <c r="B180" s="1008" t="s">
        <v>213</v>
      </c>
      <c r="C180" s="1011" t="s">
        <v>223</v>
      </c>
      <c r="D180" s="1014" t="s">
        <v>199</v>
      </c>
      <c r="E180" s="1199">
        <f>+((0.4*2.51)+(1.5*3.77)+(7*0.4)+(8*0.22)+(1.5*0.04))*E175</f>
        <v>11.279000000000002</v>
      </c>
      <c r="F180" s="1190">
        <f>36.1/1000</f>
        <v>3.61E-2</v>
      </c>
      <c r="G180" s="1191"/>
      <c r="H180" s="1192"/>
      <c r="I180" s="1193">
        <v>5.7000000000000002E-2</v>
      </c>
      <c r="J180" s="1194"/>
      <c r="K180" s="1195"/>
      <c r="L180" s="417"/>
      <c r="M180" s="177"/>
      <c r="N180" s="545"/>
      <c r="O180" s="545"/>
      <c r="P180" s="545"/>
      <c r="Q180" s="544"/>
      <c r="R180" s="549">
        <f>F181+I181</f>
        <v>0.26806587000000004</v>
      </c>
      <c r="S180" s="987">
        <f>R180+R181+R182+R183</f>
        <v>0.91280676072246025</v>
      </c>
      <c r="T180" s="987">
        <f>E180*S180</f>
        <v>10.295547454188631</v>
      </c>
      <c r="U180" s="1112">
        <f>E180*Q181</f>
        <v>7.1494953556950041</v>
      </c>
      <c r="V180" s="273">
        <f t="shared" si="0"/>
        <v>1.2121500323732819</v>
      </c>
      <c r="W180" s="274">
        <f t="shared" si="1"/>
        <v>13.671840215138248</v>
      </c>
      <c r="X180" s="419"/>
      <c r="Y180" s="239"/>
    </row>
    <row r="181" spans="1:25" s="156" customFormat="1" ht="13.5" customHeight="1">
      <c r="A181" s="1006"/>
      <c r="B181" s="1009"/>
      <c r="C181" s="1012"/>
      <c r="D181" s="1015"/>
      <c r="E181" s="1287"/>
      <c r="F181" s="1164">
        <f>F180*$J$13/1000</f>
        <v>8.4365700000000002E-2</v>
      </c>
      <c r="G181" s="1520"/>
      <c r="H181" s="1166"/>
      <c r="I181" s="1164">
        <f>I180*$Q$13/1000</f>
        <v>0.18370017000000002</v>
      </c>
      <c r="J181" s="1520"/>
      <c r="K181" s="1166"/>
      <c r="L181" s="249" t="s">
        <v>208</v>
      </c>
      <c r="M181" s="250" t="s">
        <v>124</v>
      </c>
      <c r="N181" s="264">
        <v>1</v>
      </c>
      <c r="O181" s="340">
        <f>E180*N181</f>
        <v>11.279000000000002</v>
      </c>
      <c r="P181" s="240">
        <v>0.55000000000000004</v>
      </c>
      <c r="Q181" s="245">
        <f>N181*P181*$N$11</f>
        <v>0.63387670500000026</v>
      </c>
      <c r="R181" s="987">
        <f>SUM(Q181:Q183)</f>
        <v>0.64474089072246021</v>
      </c>
      <c r="S181" s="988"/>
      <c r="T181" s="988"/>
      <c r="U181" s="1031"/>
      <c r="V181" s="273">
        <f t="shared" si="0"/>
        <v>0</v>
      </c>
      <c r="W181" s="274">
        <f t="shared" si="1"/>
        <v>0</v>
      </c>
      <c r="X181" s="419"/>
      <c r="Y181" s="239"/>
    </row>
    <row r="182" spans="1:25" s="156" customFormat="1" ht="12">
      <c r="A182" s="1006"/>
      <c r="B182" s="1009"/>
      <c r="C182" s="1012"/>
      <c r="D182" s="1015"/>
      <c r="E182" s="1287"/>
      <c r="F182" s="1288"/>
      <c r="G182" s="1289"/>
      <c r="H182" s="1290"/>
      <c r="I182" s="1288"/>
      <c r="J182" s="1289"/>
      <c r="K182" s="1290"/>
      <c r="L182" s="337" t="s">
        <v>190</v>
      </c>
      <c r="M182" s="243" t="s">
        <v>124</v>
      </c>
      <c r="N182" s="240">
        <v>4.0000000000000001E-3</v>
      </c>
      <c r="O182" s="247">
        <f>E180*N182</f>
        <v>4.511600000000001E-2</v>
      </c>
      <c r="P182" s="448">
        <v>0.89400000000000002</v>
      </c>
      <c r="Q182" s="449">
        <f>N182*P182*$N$11</f>
        <v>4.1213510856000016E-3</v>
      </c>
      <c r="R182" s="988"/>
      <c r="S182" s="988"/>
      <c r="T182" s="988"/>
      <c r="U182" s="1031"/>
      <c r="V182" s="273">
        <f t="shared" si="0"/>
        <v>0</v>
      </c>
      <c r="W182" s="274">
        <f t="shared" si="1"/>
        <v>0</v>
      </c>
      <c r="X182" s="419"/>
      <c r="Y182" s="239"/>
    </row>
    <row r="183" spans="1:25" s="156" customFormat="1" ht="12">
      <c r="A183" s="1007"/>
      <c r="B183" s="1010"/>
      <c r="C183" s="1013"/>
      <c r="D183" s="1016"/>
      <c r="E183" s="1200"/>
      <c r="F183" s="1225"/>
      <c r="G183" s="1226"/>
      <c r="H183" s="1167"/>
      <c r="I183" s="1225"/>
      <c r="J183" s="1226"/>
      <c r="K183" s="1167"/>
      <c r="L183" s="450" t="s">
        <v>214</v>
      </c>
      <c r="M183" s="243" t="s">
        <v>124</v>
      </c>
      <c r="N183" s="451">
        <v>4.8999999999999998E-3</v>
      </c>
      <c r="O183" s="261">
        <f>E180*N183</f>
        <v>5.5267100000000006E-2</v>
      </c>
      <c r="P183" s="452">
        <v>1.194</v>
      </c>
      <c r="Q183" s="453">
        <f>N183*P183*$N$11</f>
        <v>6.742834636860001E-3</v>
      </c>
      <c r="R183" s="989"/>
      <c r="S183" s="989"/>
      <c r="T183" s="989"/>
      <c r="U183" s="1113"/>
      <c r="V183" s="273">
        <f t="shared" si="0"/>
        <v>0</v>
      </c>
      <c r="W183" s="274">
        <f t="shared" si="1"/>
        <v>0</v>
      </c>
      <c r="X183" s="419"/>
      <c r="Y183" s="239"/>
    </row>
    <row r="184" spans="1:25" s="398" customFormat="1" ht="12">
      <c r="A184" s="1005">
        <f>+A180+1</f>
        <v>4</v>
      </c>
      <c r="B184" s="1008" t="s">
        <v>215</v>
      </c>
      <c r="C184" s="1521" t="s">
        <v>224</v>
      </c>
      <c r="D184" s="1014" t="s">
        <v>197</v>
      </c>
      <c r="E184" s="1055">
        <f>7*E175</f>
        <v>7</v>
      </c>
      <c r="F184" s="993">
        <v>0.23</v>
      </c>
      <c r="G184" s="994"/>
      <c r="H184" s="995"/>
      <c r="I184" s="993">
        <v>0.01</v>
      </c>
      <c r="J184" s="994"/>
      <c r="K184" s="995"/>
      <c r="L184" s="417"/>
      <c r="M184" s="177"/>
      <c r="N184" s="545"/>
      <c r="O184" s="545"/>
      <c r="P184" s="558"/>
      <c r="Q184" s="551"/>
      <c r="R184" s="549">
        <f>F185+I185</f>
        <v>0.56973810000000003</v>
      </c>
      <c r="S184" s="987">
        <f>R184+R185</f>
        <v>5.756002050000002</v>
      </c>
      <c r="T184" s="987">
        <f>E184*S184</f>
        <v>40.292014350000017</v>
      </c>
      <c r="U184" s="1112">
        <f>E184*Q185</f>
        <v>36.303847650000009</v>
      </c>
      <c r="V184" s="273">
        <f t="shared" si="0"/>
        <v>7.6436091092554745</v>
      </c>
      <c r="W184" s="274">
        <f t="shared" si="1"/>
        <v>53.505263764788324</v>
      </c>
      <c r="X184" s="419"/>
      <c r="Y184" s="454"/>
    </row>
    <row r="185" spans="1:25" s="398" customFormat="1" ht="12">
      <c r="A185" s="1007"/>
      <c r="B185" s="1010"/>
      <c r="C185" s="1521"/>
      <c r="D185" s="1016"/>
      <c r="E185" s="1056"/>
      <c r="F185" s="1225">
        <f>F184*$J$13/1000</f>
        <v>0.53751000000000004</v>
      </c>
      <c r="G185" s="1226"/>
      <c r="H185" s="1167"/>
      <c r="I185" s="1225">
        <f>I184*$Q$13/1000</f>
        <v>3.2228099999999996E-2</v>
      </c>
      <c r="J185" s="1226"/>
      <c r="K185" s="1167"/>
      <c r="L185" s="337" t="s">
        <v>216</v>
      </c>
      <c r="M185" s="243" t="s">
        <v>164</v>
      </c>
      <c r="N185" s="244">
        <v>1</v>
      </c>
      <c r="O185" s="247">
        <f>E184*N185</f>
        <v>7</v>
      </c>
      <c r="P185" s="338">
        <v>4.5</v>
      </c>
      <c r="Q185" s="455">
        <f>N185*P185*$N$11</f>
        <v>5.1862639500000016</v>
      </c>
      <c r="R185" s="546">
        <f>SUM(Q185:Q185)</f>
        <v>5.1862639500000016</v>
      </c>
      <c r="S185" s="989"/>
      <c r="T185" s="989"/>
      <c r="U185" s="1113"/>
      <c r="V185" s="273">
        <f t="shared" si="0"/>
        <v>0</v>
      </c>
      <c r="W185" s="274">
        <f t="shared" si="1"/>
        <v>0</v>
      </c>
      <c r="X185" s="419"/>
      <c r="Y185" s="454"/>
    </row>
    <row r="186" spans="1:25" s="156" customFormat="1" ht="12">
      <c r="A186" s="1005">
        <f>+A184+1</f>
        <v>5</v>
      </c>
      <c r="B186" s="1008" t="s">
        <v>217</v>
      </c>
      <c r="C186" s="1053" t="s">
        <v>225</v>
      </c>
      <c r="D186" s="1014" t="s">
        <v>197</v>
      </c>
      <c r="E186" s="1055">
        <f>3*E175</f>
        <v>3</v>
      </c>
      <c r="F186" s="990">
        <v>0.46</v>
      </c>
      <c r="G186" s="991"/>
      <c r="H186" s="992"/>
      <c r="I186" s="993">
        <v>0.08</v>
      </c>
      <c r="J186" s="994"/>
      <c r="K186" s="995"/>
      <c r="L186" s="417"/>
      <c r="M186" s="177"/>
      <c r="N186" s="545"/>
      <c r="O186" s="545"/>
      <c r="P186" s="545"/>
      <c r="Q186" s="551"/>
      <c r="R186" s="549">
        <f>F187+I187</f>
        <v>1.3328448000000002</v>
      </c>
      <c r="S186" s="987">
        <f>R186+R187</f>
        <v>5.8172343621000016</v>
      </c>
      <c r="T186" s="987">
        <f>E186*S186</f>
        <v>17.451703086300004</v>
      </c>
      <c r="U186" s="1112">
        <f>R187*E186</f>
        <v>13.453168686300003</v>
      </c>
      <c r="V186" s="273">
        <f t="shared" si="0"/>
        <v>7.7249217728860113</v>
      </c>
      <c r="W186" s="274">
        <f t="shared" si="1"/>
        <v>23.174765318658032</v>
      </c>
      <c r="X186" s="419"/>
    </row>
    <row r="187" spans="1:25" s="156" customFormat="1" ht="30.75" customHeight="1">
      <c r="A187" s="1007"/>
      <c r="B187" s="1010"/>
      <c r="C187" s="1054"/>
      <c r="D187" s="1016"/>
      <c r="E187" s="1056"/>
      <c r="F187" s="1430">
        <f>F186*$J$13/1000</f>
        <v>1.0750200000000001</v>
      </c>
      <c r="G187" s="1431"/>
      <c r="H187" s="1432"/>
      <c r="I187" s="993">
        <f>I186*$Q$13/1000</f>
        <v>0.25782479999999997</v>
      </c>
      <c r="J187" s="994"/>
      <c r="K187" s="995"/>
      <c r="L187" s="337" t="s">
        <v>218</v>
      </c>
      <c r="M187" s="243" t="s">
        <v>116</v>
      </c>
      <c r="N187" s="244">
        <v>1.5</v>
      </c>
      <c r="O187" s="247">
        <f>E186*N187</f>
        <v>4.5</v>
      </c>
      <c r="P187" s="240">
        <v>2.5939999999999999</v>
      </c>
      <c r="Q187" s="245">
        <f>N187*P187*$N$11</f>
        <v>4.4843895621000014</v>
      </c>
      <c r="R187" s="549">
        <f>SUM(Q187:Q187)</f>
        <v>4.4843895621000014</v>
      </c>
      <c r="S187" s="989"/>
      <c r="T187" s="989"/>
      <c r="U187" s="1113"/>
      <c r="V187" s="273">
        <f t="shared" si="0"/>
        <v>0</v>
      </c>
      <c r="W187" s="274">
        <f t="shared" si="1"/>
        <v>0</v>
      </c>
      <c r="X187" s="419"/>
    </row>
    <row r="188" spans="1:25" s="156" customFormat="1" ht="12.75" customHeight="1">
      <c r="A188" s="1005">
        <f>+A186+1</f>
        <v>6</v>
      </c>
      <c r="B188" s="1008" t="s">
        <v>193</v>
      </c>
      <c r="C188" s="1053" t="s">
        <v>226</v>
      </c>
      <c r="D188" s="1014" t="s">
        <v>194</v>
      </c>
      <c r="E188" s="1199">
        <f>7.5*E175</f>
        <v>7.5</v>
      </c>
      <c r="F188" s="990">
        <v>0.13</v>
      </c>
      <c r="G188" s="991"/>
      <c r="H188" s="992"/>
      <c r="I188" s="1193">
        <v>1.7000000000000001E-2</v>
      </c>
      <c r="J188" s="1194"/>
      <c r="K188" s="1195"/>
      <c r="L188" s="417"/>
      <c r="M188" s="177"/>
      <c r="N188" s="545"/>
      <c r="O188" s="545"/>
      <c r="P188" s="418"/>
      <c r="Q188" s="551"/>
      <c r="R188" s="549">
        <f>F189+I189</f>
        <v>0.35859777000000004</v>
      </c>
      <c r="S188" s="987">
        <f>R188+R189</f>
        <v>1.1930100144000004</v>
      </c>
      <c r="T188" s="987">
        <f>E188*S188</f>
        <v>8.9475751080000023</v>
      </c>
      <c r="U188" s="1112">
        <f>R189*E188</f>
        <v>6.2580918330000026</v>
      </c>
      <c r="V188" s="273">
        <f t="shared" si="0"/>
        <v>1.5842423498617144</v>
      </c>
      <c r="W188" s="274">
        <f t="shared" si="1"/>
        <v>11.881817623962858</v>
      </c>
      <c r="X188" s="419"/>
    </row>
    <row r="189" spans="1:25" s="156" customFormat="1" ht="21.75" customHeight="1">
      <c r="A189" s="1007"/>
      <c r="B189" s="1010"/>
      <c r="C189" s="1286"/>
      <c r="D189" s="1016"/>
      <c r="E189" s="1200"/>
      <c r="F189" s="1430">
        <f>F188*$J$13/1000</f>
        <v>0.30381000000000002</v>
      </c>
      <c r="G189" s="1431"/>
      <c r="H189" s="1432"/>
      <c r="I189" s="993">
        <f>I188*$Q$13/1000</f>
        <v>5.478777E-2</v>
      </c>
      <c r="J189" s="994"/>
      <c r="K189" s="995"/>
      <c r="L189" s="246" t="s">
        <v>219</v>
      </c>
      <c r="M189" s="243" t="s">
        <v>116</v>
      </c>
      <c r="N189" s="244">
        <v>1</v>
      </c>
      <c r="O189" s="247">
        <f>E188*N189</f>
        <v>7.5</v>
      </c>
      <c r="P189" s="240">
        <f>0.543/3*4</f>
        <v>0.72400000000000009</v>
      </c>
      <c r="Q189" s="245">
        <f>N189*P189*$N$11</f>
        <v>0.83441224440000039</v>
      </c>
      <c r="R189" s="549">
        <f>SUM(Q189:Q189)</f>
        <v>0.83441224440000039</v>
      </c>
      <c r="S189" s="989"/>
      <c r="T189" s="989"/>
      <c r="U189" s="1113"/>
      <c r="V189" s="273">
        <f t="shared" si="0"/>
        <v>0</v>
      </c>
      <c r="W189" s="274">
        <f t="shared" si="1"/>
        <v>0</v>
      </c>
      <c r="X189" s="419"/>
    </row>
    <row r="190" spans="1:25" s="428" customFormat="1" ht="15" customHeight="1">
      <c r="A190" s="504"/>
      <c r="C190" s="557" t="s">
        <v>312</v>
      </c>
      <c r="D190" s="424"/>
      <c r="E190" s="425">
        <v>1</v>
      </c>
      <c r="F190" s="1537" t="s">
        <v>277</v>
      </c>
      <c r="G190" s="1537"/>
      <c r="H190" s="1537"/>
      <c r="I190" s="1537"/>
      <c r="J190" s="1537"/>
      <c r="K190" s="1537"/>
      <c r="L190" s="1537"/>
      <c r="M190" s="426"/>
      <c r="N190" s="426"/>
      <c r="O190" s="426"/>
      <c r="P190" s="425"/>
      <c r="Q190" s="425"/>
      <c r="R190" s="425"/>
      <c r="S190" s="425"/>
      <c r="T190" s="425"/>
      <c r="U190" s="427">
        <f>+E190</f>
        <v>1</v>
      </c>
      <c r="V190" s="273">
        <f t="shared" si="0"/>
        <v>0</v>
      </c>
      <c r="W190" s="274">
        <f t="shared" si="1"/>
        <v>0</v>
      </c>
      <c r="X190" s="419"/>
    </row>
    <row r="191" spans="1:25" s="433" customFormat="1" ht="12.75">
      <c r="A191" s="1300">
        <v>1</v>
      </c>
      <c r="B191" s="1529" t="s">
        <v>211</v>
      </c>
      <c r="C191" s="1538" t="s">
        <v>200</v>
      </c>
      <c r="D191" s="1531" t="s">
        <v>201</v>
      </c>
      <c r="E191" s="1533">
        <f>2.5*E190</f>
        <v>2.5</v>
      </c>
      <c r="F191" s="1526">
        <f>0.01*194</f>
        <v>1.94</v>
      </c>
      <c r="G191" s="1526"/>
      <c r="H191" s="1526"/>
      <c r="I191" s="1527">
        <v>0</v>
      </c>
      <c r="J191" s="1527"/>
      <c r="K191" s="1527"/>
      <c r="L191" s="429"/>
      <c r="M191" s="430"/>
      <c r="N191" s="430"/>
      <c r="O191" s="430"/>
      <c r="P191" s="431"/>
      <c r="Q191" s="432"/>
      <c r="R191" s="1522">
        <f>F192+I192</f>
        <v>4.5337800000000001</v>
      </c>
      <c r="S191" s="1522">
        <f>R191+R192</f>
        <v>4.5337800000000001</v>
      </c>
      <c r="T191" s="1522">
        <f>E191*S191</f>
        <v>11.33445</v>
      </c>
      <c r="U191" s="1524"/>
      <c r="V191" s="273">
        <f t="shared" si="0"/>
        <v>6.0205750113240972</v>
      </c>
      <c r="W191" s="274">
        <f t="shared" si="1"/>
        <v>15.051437528310244</v>
      </c>
      <c r="X191" s="419"/>
    </row>
    <row r="192" spans="1:25" s="433" customFormat="1" ht="12.75">
      <c r="A192" s="1528"/>
      <c r="B192" s="1530"/>
      <c r="C192" s="1538"/>
      <c r="D192" s="1532"/>
      <c r="E192" s="1534"/>
      <c r="F192" s="1526">
        <f>F191*$J$13/1000</f>
        <v>4.5337800000000001</v>
      </c>
      <c r="G192" s="1526"/>
      <c r="H192" s="1526"/>
      <c r="I192" s="1527">
        <f>I191*$Q$13/1000</f>
        <v>0</v>
      </c>
      <c r="J192" s="1527"/>
      <c r="K192" s="1527"/>
      <c r="L192" s="434"/>
      <c r="M192" s="435"/>
      <c r="N192" s="435"/>
      <c r="O192" s="435" t="s">
        <v>20</v>
      </c>
      <c r="P192" s="436"/>
      <c r="Q192" s="437"/>
      <c r="R192" s="1523"/>
      <c r="S192" s="1523"/>
      <c r="T192" s="1523"/>
      <c r="U192" s="1525"/>
      <c r="V192" s="273">
        <f t="shared" si="0"/>
        <v>0</v>
      </c>
      <c r="W192" s="274">
        <f t="shared" si="1"/>
        <v>0</v>
      </c>
      <c r="X192" s="419"/>
    </row>
    <row r="193" spans="1:25" s="433" customFormat="1" ht="12.75">
      <c r="A193" s="1300">
        <f>+A191+1</f>
        <v>2</v>
      </c>
      <c r="B193" s="1529" t="s">
        <v>212</v>
      </c>
      <c r="C193" s="1180" t="s">
        <v>222</v>
      </c>
      <c r="D193" s="1531" t="s">
        <v>201</v>
      </c>
      <c r="E193" s="1533">
        <f>+E191</f>
        <v>2.5</v>
      </c>
      <c r="F193" s="1526">
        <f>0.01*66.4</f>
        <v>0.66400000000000003</v>
      </c>
      <c r="G193" s="1526"/>
      <c r="H193" s="1526"/>
      <c r="I193" s="1535"/>
      <c r="J193" s="1535"/>
      <c r="K193" s="1535"/>
      <c r="L193" s="438"/>
      <c r="M193" s="439"/>
      <c r="N193" s="440"/>
      <c r="O193" s="440"/>
      <c r="P193" s="441"/>
      <c r="Q193" s="442"/>
      <c r="R193" s="1522">
        <f>F194+I194</f>
        <v>1.551768</v>
      </c>
      <c r="S193" s="1522">
        <f>R193+R194</f>
        <v>1.551768</v>
      </c>
      <c r="T193" s="1522">
        <f>E193*S193</f>
        <v>3.8794200000000001</v>
      </c>
      <c r="U193" s="443"/>
      <c r="V193" s="273">
        <f t="shared" si="0"/>
        <v>2.0606504162470105</v>
      </c>
      <c r="W193" s="274">
        <f t="shared" si="1"/>
        <v>5.1516260406175265</v>
      </c>
      <c r="X193" s="419"/>
    </row>
    <row r="194" spans="1:25" s="433" customFormat="1" ht="10.5" customHeight="1">
      <c r="A194" s="1528"/>
      <c r="B194" s="1530"/>
      <c r="C194" s="1181"/>
      <c r="D194" s="1532"/>
      <c r="E194" s="1534"/>
      <c r="F194" s="1526">
        <f>F193*$J$13/1000</f>
        <v>1.551768</v>
      </c>
      <c r="G194" s="1526"/>
      <c r="H194" s="1526"/>
      <c r="I194" s="1536"/>
      <c r="J194" s="1536"/>
      <c r="K194" s="1536"/>
      <c r="L194" s="434"/>
      <c r="M194" s="444"/>
      <c r="N194" s="445"/>
      <c r="O194" s="445"/>
      <c r="P194" s="436"/>
      <c r="Q194" s="446"/>
      <c r="R194" s="1523"/>
      <c r="S194" s="1523"/>
      <c r="T194" s="1523"/>
      <c r="U194" s="447"/>
      <c r="V194" s="273">
        <f t="shared" si="0"/>
        <v>0</v>
      </c>
      <c r="W194" s="274">
        <f t="shared" si="1"/>
        <v>0</v>
      </c>
      <c r="X194" s="419"/>
    </row>
    <row r="195" spans="1:25" s="156" customFormat="1" ht="12">
      <c r="A195" s="1005">
        <f>+A193+1</f>
        <v>3</v>
      </c>
      <c r="B195" s="1008" t="s">
        <v>213</v>
      </c>
      <c r="C195" s="1011" t="s">
        <v>223</v>
      </c>
      <c r="D195" s="1014" t="s">
        <v>199</v>
      </c>
      <c r="E195" s="1199">
        <f>+((0.4*2.51)+(1.5*3.77)+(6*0.4)+(7*0.22)+(1.5*0.04))*E190</f>
        <v>10.659000000000001</v>
      </c>
      <c r="F195" s="1190">
        <f>36.1/1000</f>
        <v>3.61E-2</v>
      </c>
      <c r="G195" s="1191"/>
      <c r="H195" s="1192"/>
      <c r="I195" s="1193">
        <v>5.7000000000000002E-2</v>
      </c>
      <c r="J195" s="1194"/>
      <c r="K195" s="1195"/>
      <c r="L195" s="417"/>
      <c r="M195" s="177"/>
      <c r="N195" s="545"/>
      <c r="O195" s="545"/>
      <c r="P195" s="545"/>
      <c r="Q195" s="544"/>
      <c r="R195" s="549">
        <f>F196+I196</f>
        <v>0.26806587000000004</v>
      </c>
      <c r="S195" s="987">
        <f>R195+R196+R197+R198</f>
        <v>0.91280676072246025</v>
      </c>
      <c r="T195" s="987">
        <f>E195*S195</f>
        <v>9.7296072625407053</v>
      </c>
      <c r="U195" s="1112">
        <f>E195*Q196</f>
        <v>6.756491798595003</v>
      </c>
      <c r="V195" s="273">
        <f t="shared" si="0"/>
        <v>1.2121500323732819</v>
      </c>
      <c r="W195" s="274">
        <f t="shared" si="1"/>
        <v>12.920307195066812</v>
      </c>
      <c r="X195" s="419"/>
      <c r="Y195" s="239"/>
    </row>
    <row r="196" spans="1:25" s="156" customFormat="1" ht="13.5" customHeight="1">
      <c r="A196" s="1006"/>
      <c r="B196" s="1009"/>
      <c r="C196" s="1012"/>
      <c r="D196" s="1015"/>
      <c r="E196" s="1287"/>
      <c r="F196" s="1164">
        <f>F195*$J$13/1000</f>
        <v>8.4365700000000002E-2</v>
      </c>
      <c r="G196" s="1520"/>
      <c r="H196" s="1166"/>
      <c r="I196" s="1164">
        <f>I195*$Q$13/1000</f>
        <v>0.18370017000000002</v>
      </c>
      <c r="J196" s="1520"/>
      <c r="K196" s="1166"/>
      <c r="L196" s="249" t="s">
        <v>208</v>
      </c>
      <c r="M196" s="250" t="s">
        <v>124</v>
      </c>
      <c r="N196" s="264">
        <v>1</v>
      </c>
      <c r="O196" s="340">
        <f>E195*N196</f>
        <v>10.659000000000001</v>
      </c>
      <c r="P196" s="240">
        <v>0.55000000000000004</v>
      </c>
      <c r="Q196" s="245">
        <f>N196*P196*$N$11</f>
        <v>0.63387670500000026</v>
      </c>
      <c r="R196" s="987">
        <f>SUM(Q196:Q198)</f>
        <v>0.64474089072246021</v>
      </c>
      <c r="S196" s="988"/>
      <c r="T196" s="988"/>
      <c r="U196" s="1031"/>
      <c r="V196" s="273">
        <f t="shared" si="0"/>
        <v>0</v>
      </c>
      <c r="W196" s="274">
        <f t="shared" si="1"/>
        <v>0</v>
      </c>
      <c r="X196" s="419"/>
      <c r="Y196" s="239"/>
    </row>
    <row r="197" spans="1:25" s="156" customFormat="1" ht="12">
      <c r="A197" s="1006"/>
      <c r="B197" s="1009"/>
      <c r="C197" s="1012"/>
      <c r="D197" s="1015"/>
      <c r="E197" s="1287"/>
      <c r="F197" s="1288"/>
      <c r="G197" s="1289"/>
      <c r="H197" s="1290"/>
      <c r="I197" s="1288"/>
      <c r="J197" s="1289"/>
      <c r="K197" s="1290"/>
      <c r="L197" s="337" t="s">
        <v>190</v>
      </c>
      <c r="M197" s="243" t="s">
        <v>124</v>
      </c>
      <c r="N197" s="240">
        <v>4.0000000000000001E-3</v>
      </c>
      <c r="O197" s="247">
        <f>E195*N197</f>
        <v>4.2636E-2</v>
      </c>
      <c r="P197" s="448">
        <v>0.89400000000000002</v>
      </c>
      <c r="Q197" s="449">
        <f>N197*P197*$N$11</f>
        <v>4.1213510856000016E-3</v>
      </c>
      <c r="R197" s="988"/>
      <c r="S197" s="988"/>
      <c r="T197" s="988"/>
      <c r="U197" s="1031"/>
      <c r="V197" s="273">
        <f t="shared" si="0"/>
        <v>0</v>
      </c>
      <c r="W197" s="274">
        <f t="shared" si="1"/>
        <v>0</v>
      </c>
      <c r="X197" s="419"/>
      <c r="Y197" s="239"/>
    </row>
    <row r="198" spans="1:25" s="156" customFormat="1" ht="12">
      <c r="A198" s="1007"/>
      <c r="B198" s="1010"/>
      <c r="C198" s="1013"/>
      <c r="D198" s="1016"/>
      <c r="E198" s="1200"/>
      <c r="F198" s="1225"/>
      <c r="G198" s="1226"/>
      <c r="H198" s="1167"/>
      <c r="I198" s="1225"/>
      <c r="J198" s="1226"/>
      <c r="K198" s="1167"/>
      <c r="L198" s="450" t="s">
        <v>214</v>
      </c>
      <c r="M198" s="243" t="s">
        <v>124</v>
      </c>
      <c r="N198" s="451">
        <v>4.8999999999999998E-3</v>
      </c>
      <c r="O198" s="261">
        <f>E195*N198</f>
        <v>5.2229100000000001E-2</v>
      </c>
      <c r="P198" s="452">
        <v>1.194</v>
      </c>
      <c r="Q198" s="453">
        <f>N198*P198*$N$11</f>
        <v>6.742834636860001E-3</v>
      </c>
      <c r="R198" s="989"/>
      <c r="S198" s="989"/>
      <c r="T198" s="989"/>
      <c r="U198" s="1113"/>
      <c r="V198" s="273">
        <f t="shared" si="0"/>
        <v>0</v>
      </c>
      <c r="W198" s="274">
        <f t="shared" si="1"/>
        <v>0</v>
      </c>
      <c r="X198" s="419"/>
      <c r="Y198" s="239"/>
    </row>
    <row r="199" spans="1:25" s="398" customFormat="1" ht="12">
      <c r="A199" s="1005">
        <f>+A195+1</f>
        <v>4</v>
      </c>
      <c r="B199" s="1008" t="s">
        <v>215</v>
      </c>
      <c r="C199" s="1521" t="s">
        <v>224</v>
      </c>
      <c r="D199" s="1014" t="s">
        <v>197</v>
      </c>
      <c r="E199" s="1055">
        <v>7</v>
      </c>
      <c r="F199" s="993">
        <v>0.23</v>
      </c>
      <c r="G199" s="994"/>
      <c r="H199" s="995"/>
      <c r="I199" s="993">
        <v>0.01</v>
      </c>
      <c r="J199" s="994"/>
      <c r="K199" s="995"/>
      <c r="L199" s="417"/>
      <c r="M199" s="177"/>
      <c r="N199" s="545"/>
      <c r="O199" s="545"/>
      <c r="P199" s="558"/>
      <c r="Q199" s="551"/>
      <c r="R199" s="549">
        <f>F200+I200</f>
        <v>0.56973810000000003</v>
      </c>
      <c r="S199" s="987">
        <f>R199+R200</f>
        <v>5.756002050000002</v>
      </c>
      <c r="T199" s="987">
        <f>E199*S199</f>
        <v>40.292014350000017</v>
      </c>
      <c r="U199" s="1112">
        <f>E199*Q200</f>
        <v>36.303847650000009</v>
      </c>
      <c r="V199" s="273">
        <f t="shared" si="0"/>
        <v>7.6436091092554745</v>
      </c>
      <c r="W199" s="274">
        <f t="shared" si="1"/>
        <v>53.505263764788324</v>
      </c>
      <c r="X199" s="419"/>
      <c r="Y199" s="454"/>
    </row>
    <row r="200" spans="1:25" s="398" customFormat="1" ht="12">
      <c r="A200" s="1007"/>
      <c r="B200" s="1010"/>
      <c r="C200" s="1521"/>
      <c r="D200" s="1016"/>
      <c r="E200" s="1056"/>
      <c r="F200" s="1225">
        <f>F199*$J$13/1000</f>
        <v>0.53751000000000004</v>
      </c>
      <c r="G200" s="1226"/>
      <c r="H200" s="1167"/>
      <c r="I200" s="1225">
        <f>I199*$Q$13/1000</f>
        <v>3.2228099999999996E-2</v>
      </c>
      <c r="J200" s="1226"/>
      <c r="K200" s="1167"/>
      <c r="L200" s="337" t="s">
        <v>216</v>
      </c>
      <c r="M200" s="243" t="s">
        <v>164</v>
      </c>
      <c r="N200" s="244">
        <v>1</v>
      </c>
      <c r="O200" s="247">
        <f>E199*N200</f>
        <v>7</v>
      </c>
      <c r="P200" s="338">
        <v>4.5</v>
      </c>
      <c r="Q200" s="455">
        <f>N200*P200*$N$11</f>
        <v>5.1862639500000016</v>
      </c>
      <c r="R200" s="546">
        <f>SUM(Q200:Q200)</f>
        <v>5.1862639500000016</v>
      </c>
      <c r="S200" s="989"/>
      <c r="T200" s="989"/>
      <c r="U200" s="1113"/>
      <c r="V200" s="273">
        <f t="shared" si="0"/>
        <v>0</v>
      </c>
      <c r="W200" s="274">
        <f t="shared" si="1"/>
        <v>0</v>
      </c>
      <c r="X200" s="419"/>
      <c r="Y200" s="454"/>
    </row>
    <row r="201" spans="1:25" s="156" customFormat="1" ht="12">
      <c r="A201" s="1005">
        <f>+A199+1</f>
        <v>5</v>
      </c>
      <c r="B201" s="1008" t="s">
        <v>217</v>
      </c>
      <c r="C201" s="1053" t="s">
        <v>225</v>
      </c>
      <c r="D201" s="1014" t="s">
        <v>197</v>
      </c>
      <c r="E201" s="1055">
        <f>3*E190</f>
        <v>3</v>
      </c>
      <c r="F201" s="990">
        <v>0.46</v>
      </c>
      <c r="G201" s="991"/>
      <c r="H201" s="992"/>
      <c r="I201" s="993">
        <v>0.08</v>
      </c>
      <c r="J201" s="994"/>
      <c r="K201" s="995"/>
      <c r="L201" s="417"/>
      <c r="M201" s="177"/>
      <c r="N201" s="545"/>
      <c r="O201" s="545"/>
      <c r="P201" s="545"/>
      <c r="Q201" s="551"/>
      <c r="R201" s="549">
        <f>F202+I202</f>
        <v>1.3328448000000002</v>
      </c>
      <c r="S201" s="987">
        <f>R201+R202</f>
        <v>5.8172343621000016</v>
      </c>
      <c r="T201" s="987">
        <f>E201*S201</f>
        <v>17.451703086300004</v>
      </c>
      <c r="U201" s="1112">
        <f>R202*E201</f>
        <v>13.453168686300003</v>
      </c>
      <c r="V201" s="273">
        <f t="shared" si="0"/>
        <v>7.7249217728860113</v>
      </c>
      <c r="W201" s="274">
        <f t="shared" si="1"/>
        <v>23.174765318658032</v>
      </c>
      <c r="X201" s="419"/>
    </row>
    <row r="202" spans="1:25" s="156" customFormat="1" ht="18" customHeight="1">
      <c r="A202" s="1007"/>
      <c r="B202" s="1010"/>
      <c r="C202" s="1054"/>
      <c r="D202" s="1016"/>
      <c r="E202" s="1056"/>
      <c r="F202" s="1430">
        <f>F201*$J$13/1000</f>
        <v>1.0750200000000001</v>
      </c>
      <c r="G202" s="1431"/>
      <c r="H202" s="1432"/>
      <c r="I202" s="993">
        <f>I201*$Q$13/1000</f>
        <v>0.25782479999999997</v>
      </c>
      <c r="J202" s="994"/>
      <c r="K202" s="995"/>
      <c r="L202" s="337" t="s">
        <v>218</v>
      </c>
      <c r="M202" s="243" t="s">
        <v>116</v>
      </c>
      <c r="N202" s="244">
        <v>1.5</v>
      </c>
      <c r="O202" s="247">
        <f>E201*N202</f>
        <v>4.5</v>
      </c>
      <c r="P202" s="240">
        <v>2.5939999999999999</v>
      </c>
      <c r="Q202" s="245">
        <f>N202*P202*$N$11</f>
        <v>4.4843895621000014</v>
      </c>
      <c r="R202" s="549">
        <f>SUM(Q202:Q202)</f>
        <v>4.4843895621000014</v>
      </c>
      <c r="S202" s="989"/>
      <c r="T202" s="989"/>
      <c r="U202" s="1113"/>
      <c r="V202" s="273">
        <f t="shared" si="0"/>
        <v>0</v>
      </c>
      <c r="W202" s="274">
        <f t="shared" si="1"/>
        <v>0</v>
      </c>
      <c r="X202" s="419"/>
    </row>
    <row r="203" spans="1:25" s="156" customFormat="1" ht="12.75" customHeight="1">
      <c r="A203" s="1005">
        <f>+A201+1</f>
        <v>6</v>
      </c>
      <c r="B203" s="1008" t="s">
        <v>193</v>
      </c>
      <c r="C203" s="1053" t="s">
        <v>226</v>
      </c>
      <c r="D203" s="1014" t="s">
        <v>194</v>
      </c>
      <c r="E203" s="1199">
        <f>7.5*E190</f>
        <v>7.5</v>
      </c>
      <c r="F203" s="990">
        <v>0.13</v>
      </c>
      <c r="G203" s="991"/>
      <c r="H203" s="992"/>
      <c r="I203" s="1193">
        <v>1.7000000000000001E-2</v>
      </c>
      <c r="J203" s="1194"/>
      <c r="K203" s="1195"/>
      <c r="L203" s="417"/>
      <c r="M203" s="177"/>
      <c r="N203" s="545"/>
      <c r="O203" s="545"/>
      <c r="P203" s="418"/>
      <c r="Q203" s="551"/>
      <c r="R203" s="549">
        <f>F204+I204</f>
        <v>0.35859777000000004</v>
      </c>
      <c r="S203" s="987">
        <f>R203+R204</f>
        <v>1.1930100144000004</v>
      </c>
      <c r="T203" s="987">
        <f>E203*S203</f>
        <v>8.9475751080000023</v>
      </c>
      <c r="U203" s="1112">
        <f>R204*E203</f>
        <v>6.2580918330000026</v>
      </c>
      <c r="V203" s="273">
        <f t="shared" si="0"/>
        <v>1.5842423498617144</v>
      </c>
      <c r="W203" s="274">
        <f t="shared" si="1"/>
        <v>11.881817623962858</v>
      </c>
      <c r="X203" s="419"/>
    </row>
    <row r="204" spans="1:25" s="156" customFormat="1" ht="21.75" customHeight="1">
      <c r="A204" s="1007"/>
      <c r="B204" s="1010"/>
      <c r="C204" s="1286"/>
      <c r="D204" s="1016"/>
      <c r="E204" s="1200"/>
      <c r="F204" s="1430">
        <f>F203*$J$13/1000</f>
        <v>0.30381000000000002</v>
      </c>
      <c r="G204" s="1431"/>
      <c r="H204" s="1432"/>
      <c r="I204" s="993">
        <f>I203*$Q$13/1000</f>
        <v>5.478777E-2</v>
      </c>
      <c r="J204" s="994"/>
      <c r="K204" s="995"/>
      <c r="L204" s="246" t="s">
        <v>219</v>
      </c>
      <c r="M204" s="243" t="s">
        <v>116</v>
      </c>
      <c r="N204" s="244">
        <v>1</v>
      </c>
      <c r="O204" s="247">
        <f>E203*N204</f>
        <v>7.5</v>
      </c>
      <c r="P204" s="240">
        <f>0.543/3*4</f>
        <v>0.72400000000000009</v>
      </c>
      <c r="Q204" s="245">
        <f>N204*P204*$N$11</f>
        <v>0.83441224440000039</v>
      </c>
      <c r="R204" s="549">
        <f>SUM(Q204:Q204)</f>
        <v>0.83441224440000039</v>
      </c>
      <c r="S204" s="989"/>
      <c r="T204" s="989"/>
      <c r="U204" s="1113"/>
      <c r="V204" s="273">
        <f t="shared" si="0"/>
        <v>0</v>
      </c>
      <c r="W204" s="274">
        <f t="shared" si="1"/>
        <v>0</v>
      </c>
      <c r="X204" s="419"/>
    </row>
    <row r="205" spans="1:25" s="428" customFormat="1" ht="15" customHeight="1">
      <c r="A205" s="504"/>
      <c r="C205" s="557" t="s">
        <v>313</v>
      </c>
      <c r="D205" s="424"/>
      <c r="E205" s="425">
        <v>4</v>
      </c>
      <c r="F205" s="1537" t="s">
        <v>278</v>
      </c>
      <c r="G205" s="1537"/>
      <c r="H205" s="1537"/>
      <c r="I205" s="1537"/>
      <c r="J205" s="1537"/>
      <c r="K205" s="1537"/>
      <c r="L205" s="1537"/>
      <c r="M205" s="426"/>
      <c r="N205" s="426"/>
      <c r="O205" s="426"/>
      <c r="P205" s="425"/>
      <c r="Q205" s="425"/>
      <c r="R205" s="425"/>
      <c r="S205" s="425"/>
      <c r="T205" s="425"/>
      <c r="U205" s="427">
        <f>+E205</f>
        <v>4</v>
      </c>
      <c r="V205" s="273">
        <f t="shared" si="0"/>
        <v>0</v>
      </c>
      <c r="W205" s="274">
        <f t="shared" si="1"/>
        <v>0</v>
      </c>
      <c r="X205" s="419"/>
    </row>
    <row r="206" spans="1:25" s="433" customFormat="1" ht="12.75">
      <c r="A206" s="1300">
        <v>1</v>
      </c>
      <c r="B206" s="1529" t="s">
        <v>211</v>
      </c>
      <c r="C206" s="1538" t="s">
        <v>200</v>
      </c>
      <c r="D206" s="1531" t="s">
        <v>201</v>
      </c>
      <c r="E206" s="1533">
        <f>2.5*E205</f>
        <v>10</v>
      </c>
      <c r="F206" s="1526">
        <f>0.01*194</f>
        <v>1.94</v>
      </c>
      <c r="G206" s="1526"/>
      <c r="H206" s="1526"/>
      <c r="I206" s="1527">
        <v>0</v>
      </c>
      <c r="J206" s="1527"/>
      <c r="K206" s="1527"/>
      <c r="L206" s="429"/>
      <c r="M206" s="430"/>
      <c r="N206" s="430"/>
      <c r="O206" s="430"/>
      <c r="P206" s="431"/>
      <c r="Q206" s="432"/>
      <c r="R206" s="1522">
        <f>F207+I207</f>
        <v>4.5337800000000001</v>
      </c>
      <c r="S206" s="1522">
        <f>R206+R207</f>
        <v>4.5337800000000001</v>
      </c>
      <c r="T206" s="1522">
        <f>E206*S206</f>
        <v>45.337800000000001</v>
      </c>
      <c r="U206" s="1524"/>
      <c r="V206" s="273">
        <f t="shared" si="0"/>
        <v>6.0205750113240972</v>
      </c>
      <c r="W206" s="274">
        <f t="shared" si="1"/>
        <v>60.205750113240974</v>
      </c>
      <c r="X206" s="419"/>
    </row>
    <row r="207" spans="1:25" s="433" customFormat="1" ht="12.75">
      <c r="A207" s="1528"/>
      <c r="B207" s="1530"/>
      <c r="C207" s="1538"/>
      <c r="D207" s="1532"/>
      <c r="E207" s="1534"/>
      <c r="F207" s="1526">
        <f>F206*$J$13/1000</f>
        <v>4.5337800000000001</v>
      </c>
      <c r="G207" s="1526"/>
      <c r="H207" s="1526"/>
      <c r="I207" s="1527">
        <f>I206*$Q$13/1000</f>
        <v>0</v>
      </c>
      <c r="J207" s="1527"/>
      <c r="K207" s="1527"/>
      <c r="L207" s="434"/>
      <c r="M207" s="435"/>
      <c r="N207" s="435"/>
      <c r="O207" s="435" t="s">
        <v>20</v>
      </c>
      <c r="P207" s="436"/>
      <c r="Q207" s="437"/>
      <c r="R207" s="1523"/>
      <c r="S207" s="1523"/>
      <c r="T207" s="1523"/>
      <c r="U207" s="1525"/>
      <c r="V207" s="273">
        <f t="shared" si="0"/>
        <v>0</v>
      </c>
      <c r="W207" s="274">
        <f t="shared" si="1"/>
        <v>0</v>
      </c>
      <c r="X207" s="419"/>
    </row>
    <row r="208" spans="1:25" s="433" customFormat="1" ht="12.75">
      <c r="A208" s="1300">
        <f>+A206+1</f>
        <v>2</v>
      </c>
      <c r="B208" s="1529" t="s">
        <v>212</v>
      </c>
      <c r="C208" s="1180" t="s">
        <v>222</v>
      </c>
      <c r="D208" s="1531" t="s">
        <v>201</v>
      </c>
      <c r="E208" s="1533">
        <f>+E206</f>
        <v>10</v>
      </c>
      <c r="F208" s="1526">
        <f>0.01*66.4</f>
        <v>0.66400000000000003</v>
      </c>
      <c r="G208" s="1526"/>
      <c r="H208" s="1526"/>
      <c r="I208" s="1535"/>
      <c r="J208" s="1535"/>
      <c r="K208" s="1535"/>
      <c r="L208" s="438"/>
      <c r="M208" s="439"/>
      <c r="N208" s="440"/>
      <c r="O208" s="440"/>
      <c r="P208" s="441"/>
      <c r="Q208" s="442"/>
      <c r="R208" s="1522">
        <f>F209+I209</f>
        <v>1.551768</v>
      </c>
      <c r="S208" s="1522">
        <f>R208+R209</f>
        <v>1.551768</v>
      </c>
      <c r="T208" s="1522">
        <f>E208*S208</f>
        <v>15.51768</v>
      </c>
      <c r="U208" s="443"/>
      <c r="V208" s="273">
        <f t="shared" si="0"/>
        <v>2.0606504162470105</v>
      </c>
      <c r="W208" s="274">
        <f t="shared" si="1"/>
        <v>20.606504162470106</v>
      </c>
      <c r="X208" s="419"/>
    </row>
    <row r="209" spans="1:50" s="433" customFormat="1" ht="10.5" customHeight="1">
      <c r="A209" s="1528"/>
      <c r="B209" s="1530"/>
      <c r="C209" s="1181"/>
      <c r="D209" s="1532"/>
      <c r="E209" s="1534"/>
      <c r="F209" s="1526">
        <f>F208*$J$13/1000</f>
        <v>1.551768</v>
      </c>
      <c r="G209" s="1526"/>
      <c r="H209" s="1526"/>
      <c r="I209" s="1536"/>
      <c r="J209" s="1536"/>
      <c r="K209" s="1536"/>
      <c r="L209" s="434"/>
      <c r="M209" s="444"/>
      <c r="N209" s="445"/>
      <c r="O209" s="445"/>
      <c r="P209" s="436"/>
      <c r="Q209" s="446"/>
      <c r="R209" s="1523"/>
      <c r="S209" s="1523"/>
      <c r="T209" s="1523"/>
      <c r="U209" s="447"/>
      <c r="V209" s="273">
        <f t="shared" si="0"/>
        <v>0</v>
      </c>
      <c r="W209" s="274">
        <f t="shared" si="1"/>
        <v>0</v>
      </c>
      <c r="X209" s="419"/>
    </row>
    <row r="210" spans="1:50" s="156" customFormat="1" ht="12">
      <c r="A210" s="1005">
        <f>+A208+1</f>
        <v>3</v>
      </c>
      <c r="B210" s="1008" t="s">
        <v>213</v>
      </c>
      <c r="C210" s="1011" t="s">
        <v>223</v>
      </c>
      <c r="D210" s="1014" t="s">
        <v>199</v>
      </c>
      <c r="E210" s="1199">
        <f>+((0.4*2.51)+(1.5*3.77)+(4*0.4)+(7*0.22)+(1.5*0.04))*E205</f>
        <v>39.436</v>
      </c>
      <c r="F210" s="1190">
        <f>36.1/1000</f>
        <v>3.61E-2</v>
      </c>
      <c r="G210" s="1191"/>
      <c r="H210" s="1192"/>
      <c r="I210" s="1193">
        <v>5.7000000000000002E-2</v>
      </c>
      <c r="J210" s="1194"/>
      <c r="K210" s="1195"/>
      <c r="L210" s="417"/>
      <c r="M210" s="177"/>
      <c r="N210" s="545"/>
      <c r="O210" s="545"/>
      <c r="P210" s="545"/>
      <c r="Q210" s="544"/>
      <c r="R210" s="549">
        <f>F211+I211</f>
        <v>0.26806587000000004</v>
      </c>
      <c r="S210" s="987">
        <f>R210+R211+R212+R213</f>
        <v>0.91280676072246025</v>
      </c>
      <c r="T210" s="987">
        <f>E210*S210</f>
        <v>35.997447415850942</v>
      </c>
      <c r="U210" s="1112">
        <f>E210*Q211</f>
        <v>24.997561738380011</v>
      </c>
      <c r="V210" s="273">
        <f t="shared" si="0"/>
        <v>1.2121500323732819</v>
      </c>
      <c r="W210" s="274">
        <f t="shared" si="1"/>
        <v>47.802348676672743</v>
      </c>
      <c r="X210" s="419"/>
      <c r="Y210" s="239"/>
    </row>
    <row r="211" spans="1:50" s="156" customFormat="1" ht="13.5" customHeight="1">
      <c r="A211" s="1006"/>
      <c r="B211" s="1009"/>
      <c r="C211" s="1012"/>
      <c r="D211" s="1015"/>
      <c r="E211" s="1287"/>
      <c r="F211" s="1164">
        <f>F210*$J$13/1000</f>
        <v>8.4365700000000002E-2</v>
      </c>
      <c r="G211" s="1520"/>
      <c r="H211" s="1166"/>
      <c r="I211" s="1164">
        <f>I210*$Q$13/1000</f>
        <v>0.18370017000000002</v>
      </c>
      <c r="J211" s="1520"/>
      <c r="K211" s="1166"/>
      <c r="L211" s="249" t="s">
        <v>208</v>
      </c>
      <c r="M211" s="250" t="s">
        <v>124</v>
      </c>
      <c r="N211" s="264">
        <v>1</v>
      </c>
      <c r="O211" s="340">
        <f>E210*N211</f>
        <v>39.436</v>
      </c>
      <c r="P211" s="240">
        <v>0.55000000000000004</v>
      </c>
      <c r="Q211" s="245">
        <f>N211*P211*$N$11</f>
        <v>0.63387670500000026</v>
      </c>
      <c r="R211" s="987">
        <f>SUM(Q211:Q213)</f>
        <v>0.64474089072246021</v>
      </c>
      <c r="S211" s="988"/>
      <c r="T211" s="988"/>
      <c r="U211" s="1031"/>
      <c r="V211" s="273">
        <f t="shared" si="0"/>
        <v>0</v>
      </c>
      <c r="W211" s="274">
        <f t="shared" si="1"/>
        <v>0</v>
      </c>
      <c r="X211" s="419"/>
      <c r="Y211" s="239"/>
    </row>
    <row r="212" spans="1:50" s="156" customFormat="1" ht="12">
      <c r="A212" s="1006"/>
      <c r="B212" s="1009"/>
      <c r="C212" s="1012"/>
      <c r="D212" s="1015"/>
      <c r="E212" s="1287"/>
      <c r="F212" s="1288"/>
      <c r="G212" s="1289"/>
      <c r="H212" s="1290"/>
      <c r="I212" s="1288"/>
      <c r="J212" s="1289"/>
      <c r="K212" s="1290"/>
      <c r="L212" s="337" t="s">
        <v>190</v>
      </c>
      <c r="M212" s="243" t="s">
        <v>124</v>
      </c>
      <c r="N212" s="240">
        <v>4.0000000000000001E-3</v>
      </c>
      <c r="O212" s="247">
        <f>E210*N212</f>
        <v>0.157744</v>
      </c>
      <c r="P212" s="448">
        <v>0.89400000000000002</v>
      </c>
      <c r="Q212" s="449">
        <f>N212*P212*$N$11</f>
        <v>4.1213510856000016E-3</v>
      </c>
      <c r="R212" s="988"/>
      <c r="S212" s="988"/>
      <c r="T212" s="988"/>
      <c r="U212" s="1031"/>
      <c r="V212" s="273">
        <f t="shared" si="0"/>
        <v>0</v>
      </c>
      <c r="W212" s="274">
        <f t="shared" si="1"/>
        <v>0</v>
      </c>
      <c r="X212" s="419"/>
      <c r="Y212" s="239"/>
    </row>
    <row r="213" spans="1:50" s="156" customFormat="1" ht="12">
      <c r="A213" s="1007"/>
      <c r="B213" s="1010"/>
      <c r="C213" s="1013"/>
      <c r="D213" s="1016"/>
      <c r="E213" s="1200"/>
      <c r="F213" s="1225"/>
      <c r="G213" s="1226"/>
      <c r="H213" s="1167"/>
      <c r="I213" s="1225"/>
      <c r="J213" s="1226"/>
      <c r="K213" s="1167"/>
      <c r="L213" s="450" t="s">
        <v>214</v>
      </c>
      <c r="M213" s="243" t="s">
        <v>124</v>
      </c>
      <c r="N213" s="451">
        <v>4.8999999999999998E-3</v>
      </c>
      <c r="O213" s="261">
        <f>E210*N213</f>
        <v>0.1932364</v>
      </c>
      <c r="P213" s="452">
        <v>1.194</v>
      </c>
      <c r="Q213" s="453">
        <f>N213*P213*$N$11</f>
        <v>6.742834636860001E-3</v>
      </c>
      <c r="R213" s="989"/>
      <c r="S213" s="989"/>
      <c r="T213" s="989"/>
      <c r="U213" s="1113"/>
      <c r="V213" s="273">
        <f t="shared" si="0"/>
        <v>0</v>
      </c>
      <c r="W213" s="274">
        <f t="shared" si="1"/>
        <v>0</v>
      </c>
      <c r="X213" s="419"/>
      <c r="Y213" s="239"/>
    </row>
    <row r="214" spans="1:50" s="398" customFormat="1" ht="12">
      <c r="A214" s="1005">
        <f>+A210+1</f>
        <v>4</v>
      </c>
      <c r="B214" s="1008" t="s">
        <v>215</v>
      </c>
      <c r="C214" s="1521" t="s">
        <v>224</v>
      </c>
      <c r="D214" s="1014" t="s">
        <v>197</v>
      </c>
      <c r="E214" s="1055">
        <v>7</v>
      </c>
      <c r="F214" s="993">
        <v>0.23</v>
      </c>
      <c r="G214" s="994"/>
      <c r="H214" s="995"/>
      <c r="I214" s="993">
        <v>0.01</v>
      </c>
      <c r="J214" s="994"/>
      <c r="K214" s="995"/>
      <c r="L214" s="417"/>
      <c r="M214" s="177"/>
      <c r="N214" s="545"/>
      <c r="O214" s="545"/>
      <c r="P214" s="558"/>
      <c r="Q214" s="551"/>
      <c r="R214" s="549">
        <f>F215+I215</f>
        <v>0.56973810000000003</v>
      </c>
      <c r="S214" s="987">
        <f>R214+R215</f>
        <v>5.756002050000002</v>
      </c>
      <c r="T214" s="987">
        <f>E214*S214</f>
        <v>40.292014350000017</v>
      </c>
      <c r="U214" s="1112">
        <f>E214*Q215</f>
        <v>36.303847650000009</v>
      </c>
      <c r="V214" s="273">
        <f t="shared" si="0"/>
        <v>7.6436091092554745</v>
      </c>
      <c r="W214" s="274">
        <f t="shared" si="1"/>
        <v>53.505263764788324</v>
      </c>
      <c r="X214" s="419"/>
      <c r="Y214" s="454"/>
    </row>
    <row r="215" spans="1:50" s="398" customFormat="1" ht="12">
      <c r="A215" s="1007"/>
      <c r="B215" s="1010"/>
      <c r="C215" s="1521"/>
      <c r="D215" s="1016"/>
      <c r="E215" s="1056"/>
      <c r="F215" s="1225">
        <f>F214*$J$13/1000</f>
        <v>0.53751000000000004</v>
      </c>
      <c r="G215" s="1226"/>
      <c r="H215" s="1167"/>
      <c r="I215" s="1225">
        <f>I214*$Q$13/1000</f>
        <v>3.2228099999999996E-2</v>
      </c>
      <c r="J215" s="1226"/>
      <c r="K215" s="1167"/>
      <c r="L215" s="337" t="s">
        <v>216</v>
      </c>
      <c r="M215" s="243" t="s">
        <v>164</v>
      </c>
      <c r="N215" s="244">
        <v>1</v>
      </c>
      <c r="O215" s="247">
        <f>E214*N215</f>
        <v>7</v>
      </c>
      <c r="P215" s="338">
        <v>4.5</v>
      </c>
      <c r="Q215" s="455">
        <f>N215*P215*$N$11</f>
        <v>5.1862639500000016</v>
      </c>
      <c r="R215" s="546">
        <f>SUM(Q215:Q215)</f>
        <v>5.1862639500000016</v>
      </c>
      <c r="S215" s="989"/>
      <c r="T215" s="989"/>
      <c r="U215" s="1113"/>
      <c r="V215" s="273">
        <f t="shared" si="0"/>
        <v>0</v>
      </c>
      <c r="W215" s="274">
        <f t="shared" si="1"/>
        <v>0</v>
      </c>
      <c r="X215" s="419"/>
      <c r="Y215" s="454"/>
    </row>
    <row r="216" spans="1:50" s="156" customFormat="1" ht="12">
      <c r="A216" s="1005">
        <f>+A214+1</f>
        <v>5</v>
      </c>
      <c r="B216" s="1008" t="s">
        <v>217</v>
      </c>
      <c r="C216" s="1053" t="s">
        <v>225</v>
      </c>
      <c r="D216" s="1014" t="s">
        <v>197</v>
      </c>
      <c r="E216" s="1055">
        <f>3*E205</f>
        <v>12</v>
      </c>
      <c r="F216" s="990">
        <v>0.46</v>
      </c>
      <c r="G216" s="991"/>
      <c r="H216" s="992"/>
      <c r="I216" s="993">
        <v>0.08</v>
      </c>
      <c r="J216" s="994"/>
      <c r="K216" s="995"/>
      <c r="L216" s="417"/>
      <c r="M216" s="177"/>
      <c r="N216" s="545"/>
      <c r="O216" s="545"/>
      <c r="P216" s="545"/>
      <c r="Q216" s="551"/>
      <c r="R216" s="549">
        <f>F217+I217</f>
        <v>1.3328448000000002</v>
      </c>
      <c r="S216" s="987">
        <f>R216+R217</f>
        <v>5.8172343621000016</v>
      </c>
      <c r="T216" s="987">
        <f>E216*S216</f>
        <v>69.806812345200015</v>
      </c>
      <c r="U216" s="1112">
        <f>R217*E216</f>
        <v>53.812674745200013</v>
      </c>
      <c r="V216" s="273">
        <f t="shared" si="0"/>
        <v>7.7249217728860113</v>
      </c>
      <c r="W216" s="274">
        <f t="shared" si="1"/>
        <v>92.699061274632129</v>
      </c>
      <c r="X216" s="419"/>
    </row>
    <row r="217" spans="1:50" s="156" customFormat="1" ht="16.5" customHeight="1">
      <c r="A217" s="1007"/>
      <c r="B217" s="1010"/>
      <c r="C217" s="1054"/>
      <c r="D217" s="1016"/>
      <c r="E217" s="1056"/>
      <c r="F217" s="1430">
        <f>F216*$J$13/1000</f>
        <v>1.0750200000000001</v>
      </c>
      <c r="G217" s="1431"/>
      <c r="H217" s="1432"/>
      <c r="I217" s="993">
        <f>I216*$Q$13/1000</f>
        <v>0.25782479999999997</v>
      </c>
      <c r="J217" s="994"/>
      <c r="K217" s="995"/>
      <c r="L217" s="337" t="s">
        <v>218</v>
      </c>
      <c r="M217" s="243" t="s">
        <v>116</v>
      </c>
      <c r="N217" s="244">
        <v>1.5</v>
      </c>
      <c r="O217" s="247">
        <f>E216*N217</f>
        <v>18</v>
      </c>
      <c r="P217" s="240">
        <v>2.5939999999999999</v>
      </c>
      <c r="Q217" s="245">
        <f>N217*P217*$N$11</f>
        <v>4.4843895621000014</v>
      </c>
      <c r="R217" s="549">
        <f>SUM(Q217:Q217)</f>
        <v>4.4843895621000014</v>
      </c>
      <c r="S217" s="989"/>
      <c r="T217" s="989"/>
      <c r="U217" s="1113"/>
      <c r="V217" s="273">
        <f t="shared" si="0"/>
        <v>0</v>
      </c>
      <c r="W217" s="274">
        <f t="shared" si="1"/>
        <v>0</v>
      </c>
      <c r="X217" s="419"/>
    </row>
    <row r="218" spans="1:50" s="156" customFormat="1" ht="12.75" customHeight="1">
      <c r="A218" s="1005">
        <f>+A216+1</f>
        <v>6</v>
      </c>
      <c r="B218" s="1008" t="s">
        <v>193</v>
      </c>
      <c r="C218" s="1053" t="s">
        <v>226</v>
      </c>
      <c r="D218" s="1014" t="s">
        <v>194</v>
      </c>
      <c r="E218" s="1199">
        <f>7.5*E205</f>
        <v>30</v>
      </c>
      <c r="F218" s="990">
        <v>0.13</v>
      </c>
      <c r="G218" s="991"/>
      <c r="H218" s="992"/>
      <c r="I218" s="1193">
        <v>1.7000000000000001E-2</v>
      </c>
      <c r="J218" s="1194"/>
      <c r="K218" s="1195"/>
      <c r="L218" s="417"/>
      <c r="M218" s="177"/>
      <c r="N218" s="545"/>
      <c r="O218" s="545"/>
      <c r="P218" s="418"/>
      <c r="Q218" s="551"/>
      <c r="R218" s="549">
        <f>F219+I219</f>
        <v>0.35859777000000004</v>
      </c>
      <c r="S218" s="987">
        <f>R218+R219</f>
        <v>1.1930100144000004</v>
      </c>
      <c r="T218" s="987">
        <f>E218*S218</f>
        <v>35.790300432000009</v>
      </c>
      <c r="U218" s="1112">
        <f>R219*E218</f>
        <v>25.03236733200001</v>
      </c>
      <c r="V218" s="273">
        <f t="shared" si="0"/>
        <v>1.5842423498617144</v>
      </c>
      <c r="W218" s="274">
        <f t="shared" si="1"/>
        <v>47.527270495851432</v>
      </c>
      <c r="X218" s="419"/>
    </row>
    <row r="219" spans="1:50" s="156" customFormat="1" ht="17.25" customHeight="1">
      <c r="A219" s="1007"/>
      <c r="B219" s="1010"/>
      <c r="C219" s="1286"/>
      <c r="D219" s="1016"/>
      <c r="E219" s="1200"/>
      <c r="F219" s="1430">
        <f>F218*$J$13/1000</f>
        <v>0.30381000000000002</v>
      </c>
      <c r="G219" s="1431"/>
      <c r="H219" s="1432"/>
      <c r="I219" s="993">
        <f>I218*$Q$13/1000</f>
        <v>5.478777E-2</v>
      </c>
      <c r="J219" s="994"/>
      <c r="K219" s="995"/>
      <c r="L219" s="246" t="s">
        <v>219</v>
      </c>
      <c r="M219" s="243" t="s">
        <v>116</v>
      </c>
      <c r="N219" s="244">
        <v>1</v>
      </c>
      <c r="O219" s="247">
        <f>E218*N219</f>
        <v>30</v>
      </c>
      <c r="P219" s="240">
        <f>0.543/3*4</f>
        <v>0.72400000000000009</v>
      </c>
      <c r="Q219" s="245">
        <f>N219*P219*$N$11</f>
        <v>0.83441224440000039</v>
      </c>
      <c r="R219" s="549">
        <f>SUM(Q219:Q219)</f>
        <v>0.83441224440000039</v>
      </c>
      <c r="S219" s="989"/>
      <c r="T219" s="989"/>
      <c r="U219" s="1113"/>
      <c r="V219" s="273">
        <f t="shared" si="0"/>
        <v>0</v>
      </c>
      <c r="W219" s="274">
        <f t="shared" si="1"/>
        <v>0</v>
      </c>
      <c r="X219" s="419"/>
    </row>
    <row r="220" spans="1:50" s="155" customFormat="1" ht="12.75" customHeight="1">
      <c r="A220" s="371"/>
      <c r="B220" s="372"/>
      <c r="C220" s="373" t="s">
        <v>153</v>
      </c>
      <c r="D220" s="374"/>
      <c r="E220" s="375"/>
      <c r="F220" s="376"/>
      <c r="G220" s="377"/>
      <c r="H220" s="376"/>
      <c r="I220" s="376"/>
      <c r="J220" s="377"/>
      <c r="K220" s="376"/>
      <c r="L220" s="378"/>
      <c r="M220" s="379"/>
      <c r="N220" s="380"/>
      <c r="O220" s="381"/>
      <c r="P220" s="376"/>
      <c r="Q220" s="382"/>
      <c r="R220" s="381"/>
      <c r="S220" s="381"/>
      <c r="T220" s="383">
        <f>SUM(T128:T219)-$T$116</f>
        <v>12486.338211442589</v>
      </c>
      <c r="U220" s="383">
        <f>SUM(U128:U219)-$T$116</f>
        <v>10161.838745480449</v>
      </c>
      <c r="V220" s="273">
        <f t="shared" ref="V220:V283" si="14">+$V$14*S220</f>
        <v>0</v>
      </c>
      <c r="W220" s="559">
        <f>SUM(W127:W219)</f>
        <v>16233.726794915947</v>
      </c>
      <c r="X220" s="419">
        <v>0.35791057980815372</v>
      </c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</row>
    <row r="221" spans="1:50" s="154" customFormat="1" ht="13.5" customHeight="1">
      <c r="A221" s="384"/>
      <c r="B221" s="556"/>
      <c r="C221" s="560" t="s">
        <v>321</v>
      </c>
      <c r="D221" s="556"/>
      <c r="E221" s="556"/>
      <c r="F221" s="556"/>
      <c r="G221" s="555"/>
      <c r="H221" s="555"/>
      <c r="I221" s="556"/>
      <c r="J221" s="556"/>
      <c r="K221" s="556"/>
      <c r="L221" s="385"/>
      <c r="M221" s="556"/>
      <c r="N221" s="556"/>
      <c r="O221" s="556"/>
      <c r="P221" s="556"/>
      <c r="Q221" s="556"/>
      <c r="R221" s="556"/>
      <c r="S221" s="556"/>
      <c r="T221" s="556"/>
      <c r="U221" s="386"/>
      <c r="V221" s="273">
        <f t="shared" si="14"/>
        <v>0</v>
      </c>
      <c r="W221" s="274">
        <f t="shared" ref="W221:W284" si="15">+V221*E221</f>
        <v>0</v>
      </c>
      <c r="X221" s="419"/>
      <c r="Y221" s="196"/>
      <c r="Z221" s="196"/>
      <c r="AA221" s="196"/>
      <c r="AB221" s="196"/>
      <c r="AC221" s="196"/>
      <c r="AD221" s="196"/>
      <c r="AE221" s="196"/>
      <c r="AF221" s="155"/>
      <c r="AG221" s="155"/>
    </row>
    <row r="222" spans="1:50" s="242" customFormat="1" ht="14.25" customHeight="1">
      <c r="A222" s="1095">
        <v>1</v>
      </c>
      <c r="B222" s="1097" t="s">
        <v>259</v>
      </c>
      <c r="C222" s="1538" t="s">
        <v>302</v>
      </c>
      <c r="D222" s="1579" t="s">
        <v>201</v>
      </c>
      <c r="E222" s="1178">
        <v>10.5</v>
      </c>
      <c r="F222" s="1583">
        <f>205/100</f>
        <v>2.0499999999999998</v>
      </c>
      <c r="G222" s="1583"/>
      <c r="H222" s="1583"/>
      <c r="I222" s="1578">
        <v>0</v>
      </c>
      <c r="J222" s="1578"/>
      <c r="K222" s="1578"/>
      <c r="L222" s="387"/>
      <c r="M222" s="388"/>
      <c r="N222" s="388"/>
      <c r="O222" s="388"/>
      <c r="P222" s="388"/>
      <c r="Q222" s="389"/>
      <c r="R222" s="1044">
        <f>F223+I223</f>
        <v>4.7908499999999998</v>
      </c>
      <c r="S222" s="1044">
        <f>R222+R223</f>
        <v>4.7908499999999998</v>
      </c>
      <c r="T222" s="1044">
        <f>E222*S222</f>
        <v>50.303925</v>
      </c>
      <c r="U222" s="1105"/>
      <c r="V222" s="273">
        <f t="shared" si="14"/>
        <v>6.3619478212445353</v>
      </c>
      <c r="W222" s="274">
        <f t="shared" si="15"/>
        <v>66.800452123067615</v>
      </c>
      <c r="X222" s="419"/>
    </row>
    <row r="223" spans="1:50" s="242" customFormat="1" ht="14.25" customHeight="1">
      <c r="A223" s="1107"/>
      <c r="B223" s="1098"/>
      <c r="C223" s="1538"/>
      <c r="D223" s="1579"/>
      <c r="E223" s="1179"/>
      <c r="F223" s="1052">
        <f>F222*$J$13/1000</f>
        <v>4.7908499999999998</v>
      </c>
      <c r="G223" s="1052"/>
      <c r="H223" s="1052"/>
      <c r="I223" s="1578">
        <f>I222*$Q$13/1000</f>
        <v>0</v>
      </c>
      <c r="J223" s="1578"/>
      <c r="K223" s="1578"/>
      <c r="L223" s="390"/>
      <c r="M223" s="391"/>
      <c r="N223" s="391"/>
      <c r="O223" s="391"/>
      <c r="P223" s="391"/>
      <c r="Q223" s="392"/>
      <c r="R223" s="1045"/>
      <c r="S223" s="1045"/>
      <c r="T223" s="1045"/>
      <c r="U223" s="1106"/>
      <c r="V223" s="273">
        <f t="shared" si="14"/>
        <v>0</v>
      </c>
      <c r="W223" s="274">
        <f t="shared" si="15"/>
        <v>0</v>
      </c>
      <c r="X223" s="419"/>
    </row>
    <row r="224" spans="1:50" s="242" customFormat="1" ht="15" customHeight="1">
      <c r="A224" s="1095">
        <f>+A222+1</f>
        <v>2</v>
      </c>
      <c r="B224" s="1302" t="s">
        <v>243</v>
      </c>
      <c r="C224" s="1538" t="s">
        <v>322</v>
      </c>
      <c r="D224" s="1579" t="s">
        <v>201</v>
      </c>
      <c r="E224" s="1580">
        <v>15.8</v>
      </c>
      <c r="F224" s="1581">
        <f>0.01*474</f>
        <v>4.74</v>
      </c>
      <c r="G224" s="1581"/>
      <c r="H224" s="1581"/>
      <c r="I224" s="1582">
        <v>0</v>
      </c>
      <c r="J224" s="1582"/>
      <c r="K224" s="1582"/>
      <c r="L224" s="387"/>
      <c r="M224" s="388"/>
      <c r="N224" s="388"/>
      <c r="O224" s="388"/>
      <c r="P224" s="388"/>
      <c r="Q224" s="389"/>
      <c r="R224" s="1104">
        <f>F225+I225</f>
        <v>11.077380000000002</v>
      </c>
      <c r="S224" s="1104">
        <f>R224+R225</f>
        <v>11.077380000000002</v>
      </c>
      <c r="T224" s="1104">
        <f>E224*S224</f>
        <v>175.02260400000003</v>
      </c>
      <c r="U224" s="1185"/>
      <c r="V224" s="273">
        <f t="shared" si="14"/>
        <v>14.710064718389805</v>
      </c>
      <c r="W224" s="274">
        <f t="shared" si="15"/>
        <v>232.41902255055894</v>
      </c>
      <c r="X224" s="419"/>
    </row>
    <row r="225" spans="1:38" s="497" customFormat="1" ht="15" customHeight="1">
      <c r="A225" s="1107"/>
      <c r="B225" s="1302"/>
      <c r="C225" s="1538"/>
      <c r="D225" s="1579"/>
      <c r="E225" s="1179"/>
      <c r="F225" s="1052">
        <f>F224*$J$13/1000</f>
        <v>11.077380000000002</v>
      </c>
      <c r="G225" s="1052"/>
      <c r="H225" s="1052"/>
      <c r="I225" s="1184">
        <f>I224*$Q$13/1000</f>
        <v>0</v>
      </c>
      <c r="J225" s="1184"/>
      <c r="K225" s="1184"/>
      <c r="L225" s="390"/>
      <c r="M225" s="391"/>
      <c r="N225" s="391"/>
      <c r="O225" s="391"/>
      <c r="P225" s="391"/>
      <c r="Q225" s="392"/>
      <c r="R225" s="1104"/>
      <c r="S225" s="1045"/>
      <c r="T225" s="1045"/>
      <c r="U225" s="1185"/>
      <c r="V225" s="273">
        <f t="shared" si="14"/>
        <v>0</v>
      </c>
      <c r="W225" s="274">
        <f t="shared" si="15"/>
        <v>0</v>
      </c>
      <c r="X225" s="419"/>
      <c r="Y225" s="463"/>
      <c r="Z225" s="463"/>
      <c r="AA225" s="463"/>
      <c r="AB225" s="463"/>
      <c r="AC225" s="463"/>
      <c r="AD225" s="463"/>
      <c r="AE225" s="463"/>
      <c r="AF225" s="496"/>
      <c r="AG225" s="496"/>
      <c r="AH225" s="496"/>
      <c r="AI225" s="496"/>
      <c r="AJ225" s="496"/>
    </row>
    <row r="226" spans="1:38" s="400" customFormat="1" ht="12.75" customHeight="1">
      <c r="A226" s="1573">
        <f>+A224+1</f>
        <v>3</v>
      </c>
      <c r="B226" s="1575" t="s">
        <v>181</v>
      </c>
      <c r="C226" s="1180" t="s">
        <v>202</v>
      </c>
      <c r="D226" s="1182" t="s">
        <v>203</v>
      </c>
      <c r="E226" s="1178">
        <v>26.3</v>
      </c>
      <c r="F226" s="1567">
        <f>0.01*56.2</f>
        <v>0.56200000000000006</v>
      </c>
      <c r="G226" s="1567"/>
      <c r="H226" s="1567"/>
      <c r="I226" s="1577"/>
      <c r="J226" s="1577"/>
      <c r="K226" s="1577"/>
      <c r="L226" s="387"/>
      <c r="M226" s="388"/>
      <c r="N226" s="388"/>
      <c r="O226" s="388"/>
      <c r="P226" s="388"/>
      <c r="Q226" s="389"/>
      <c r="R226" s="1565">
        <f>F227+I227</f>
        <v>1.3133940000000002</v>
      </c>
      <c r="S226" s="1565">
        <f>R226+R227</f>
        <v>1.3133940000000002</v>
      </c>
      <c r="T226" s="1565">
        <f>E226*S226</f>
        <v>34.542262200000003</v>
      </c>
      <c r="U226" s="523"/>
      <c r="V226" s="273">
        <f t="shared" si="14"/>
        <v>1.7441047197753312</v>
      </c>
      <c r="W226" s="274">
        <f t="shared" si="15"/>
        <v>45.869954130091209</v>
      </c>
      <c r="X226" s="419"/>
      <c r="Y226" s="524"/>
      <c r="Z226" s="398"/>
      <c r="AA226" s="398"/>
      <c r="AB226" s="398"/>
      <c r="AC226" s="398"/>
      <c r="AD226" s="398"/>
      <c r="AE226" s="398"/>
      <c r="AF226" s="398"/>
      <c r="AG226" s="398"/>
      <c r="AH226" s="399"/>
      <c r="AI226" s="399"/>
      <c r="AJ226" s="399"/>
      <c r="AK226" s="399"/>
      <c r="AL226" s="399"/>
    </row>
    <row r="227" spans="1:38" s="400" customFormat="1" ht="12.75" customHeight="1">
      <c r="A227" s="1574"/>
      <c r="B227" s="1576"/>
      <c r="C227" s="1181"/>
      <c r="D227" s="1183"/>
      <c r="E227" s="1179"/>
      <c r="F227" s="1567">
        <f>F226*$J$13/1000</f>
        <v>1.3133940000000002</v>
      </c>
      <c r="G227" s="1567"/>
      <c r="H227" s="1567"/>
      <c r="I227" s="1568">
        <f>J226*$Q$13/1000</f>
        <v>0</v>
      </c>
      <c r="J227" s="1568"/>
      <c r="K227" s="1568"/>
      <c r="L227" s="390"/>
      <c r="M227" s="391"/>
      <c r="N227" s="391"/>
      <c r="O227" s="391"/>
      <c r="P227" s="391"/>
      <c r="Q227" s="392"/>
      <c r="R227" s="1566"/>
      <c r="S227" s="1566"/>
      <c r="T227" s="1566"/>
      <c r="U227" s="525"/>
      <c r="V227" s="273">
        <f t="shared" si="14"/>
        <v>0</v>
      </c>
      <c r="W227" s="274">
        <f t="shared" si="15"/>
        <v>0</v>
      </c>
      <c r="X227" s="419"/>
      <c r="Y227" s="157"/>
      <c r="Z227" s="398"/>
      <c r="AA227" s="398"/>
      <c r="AB227" s="398"/>
      <c r="AC227" s="398"/>
      <c r="AD227" s="398"/>
      <c r="AE227" s="398"/>
      <c r="AF227" s="398"/>
      <c r="AG227" s="398"/>
      <c r="AH227" s="399"/>
      <c r="AI227" s="399"/>
      <c r="AJ227" s="399"/>
      <c r="AK227" s="399"/>
      <c r="AL227" s="399"/>
    </row>
    <row r="228" spans="1:38" s="405" customFormat="1" ht="12.75" customHeight="1">
      <c r="A228" s="1005">
        <f>+A226+1</f>
        <v>4</v>
      </c>
      <c r="B228" s="1008" t="s">
        <v>182</v>
      </c>
      <c r="C228" s="1569" t="s">
        <v>204</v>
      </c>
      <c r="D228" s="974" t="s">
        <v>201</v>
      </c>
      <c r="E228" s="1199">
        <v>26.3</v>
      </c>
      <c r="F228" s="1193">
        <v>2.78</v>
      </c>
      <c r="G228" s="1194"/>
      <c r="H228" s="1195"/>
      <c r="I228" s="1193">
        <v>0.34</v>
      </c>
      <c r="J228" s="1194"/>
      <c r="K228" s="1195"/>
      <c r="L228" s="339"/>
      <c r="M228" s="177"/>
      <c r="N228" s="404"/>
      <c r="O228" s="545"/>
      <c r="P228" s="545"/>
      <c r="Q228" s="544"/>
      <c r="R228" s="549">
        <f>F229+I229</f>
        <v>7.5926153999999997</v>
      </c>
      <c r="S228" s="987">
        <f>R228+R229</f>
        <v>46.176733652216264</v>
      </c>
      <c r="T228" s="987">
        <f>E228*S228</f>
        <v>1214.4480950532877</v>
      </c>
      <c r="U228" s="1017">
        <f>E228*R229</f>
        <v>1014.7623100332878</v>
      </c>
      <c r="V228" s="273">
        <f t="shared" si="14"/>
        <v>61.319801298497438</v>
      </c>
      <c r="W228" s="274">
        <f t="shared" si="15"/>
        <v>1612.7107741504826</v>
      </c>
      <c r="X228" s="419"/>
    </row>
    <row r="229" spans="1:38" s="405" customFormat="1" ht="12">
      <c r="A229" s="1006"/>
      <c r="B229" s="1009"/>
      <c r="C229" s="1570"/>
      <c r="D229" s="1572"/>
      <c r="E229" s="1287"/>
      <c r="F229" s="1164">
        <f>F228*$J$13/1000</f>
        <v>6.4968599999999999</v>
      </c>
      <c r="G229" s="1520"/>
      <c r="H229" s="1166"/>
      <c r="I229" s="1164">
        <f>I228*$Q$13/1000</f>
        <v>1.0957554</v>
      </c>
      <c r="J229" s="1520"/>
      <c r="K229" s="1166"/>
      <c r="L229" s="249" t="s">
        <v>183</v>
      </c>
      <c r="M229" s="250" t="s">
        <v>184</v>
      </c>
      <c r="N229" s="406">
        <v>1.02</v>
      </c>
      <c r="O229" s="252">
        <f>E228*N229</f>
        <v>26.826000000000001</v>
      </c>
      <c r="P229" s="237">
        <v>27.25</v>
      </c>
      <c r="Q229" s="253">
        <f>N229*P229*$N$11</f>
        <v>32.033823664500012</v>
      </c>
      <c r="R229" s="987">
        <f>SUM(Q229:Q231)</f>
        <v>38.584118252216264</v>
      </c>
      <c r="S229" s="988"/>
      <c r="T229" s="988"/>
      <c r="U229" s="1018"/>
      <c r="V229" s="273">
        <f t="shared" si="14"/>
        <v>0</v>
      </c>
      <c r="W229" s="274">
        <f t="shared" si="15"/>
        <v>0</v>
      </c>
      <c r="X229" s="419"/>
    </row>
    <row r="230" spans="1:38" s="405" customFormat="1" ht="12">
      <c r="A230" s="1006"/>
      <c r="B230" s="1009"/>
      <c r="C230" s="1570"/>
      <c r="D230" s="1572"/>
      <c r="E230" s="1287"/>
      <c r="F230" s="1288"/>
      <c r="G230" s="1289"/>
      <c r="H230" s="1290"/>
      <c r="I230" s="1288"/>
      <c r="J230" s="1289"/>
      <c r="K230" s="1290"/>
      <c r="L230" s="259" t="s">
        <v>185</v>
      </c>
      <c r="M230" s="260" t="s">
        <v>186</v>
      </c>
      <c r="N230" s="407">
        <v>1.17</v>
      </c>
      <c r="O230" s="261">
        <f>E228*N230</f>
        <v>30.770999999999997</v>
      </c>
      <c r="P230" s="237">
        <v>3.5</v>
      </c>
      <c r="Q230" s="262">
        <f>N230*P230*$N$11</f>
        <v>4.719500194500001</v>
      </c>
      <c r="R230" s="988"/>
      <c r="S230" s="988"/>
      <c r="T230" s="988"/>
      <c r="U230" s="1018"/>
      <c r="V230" s="273">
        <f t="shared" si="14"/>
        <v>0</v>
      </c>
      <c r="W230" s="274">
        <f t="shared" si="15"/>
        <v>0</v>
      </c>
      <c r="X230" s="419"/>
    </row>
    <row r="231" spans="1:38" s="405" customFormat="1" ht="13.5" customHeight="1">
      <c r="A231" s="1007"/>
      <c r="B231" s="1010"/>
      <c r="C231" s="1571"/>
      <c r="D231" s="975"/>
      <c r="E231" s="1200"/>
      <c r="F231" s="1225"/>
      <c r="G231" s="1226"/>
      <c r="H231" s="1167"/>
      <c r="I231" s="1225"/>
      <c r="J231" s="1226"/>
      <c r="K231" s="1167"/>
      <c r="L231" s="263" t="s">
        <v>187</v>
      </c>
      <c r="M231" s="254" t="s">
        <v>184</v>
      </c>
      <c r="N231" s="408">
        <v>1.2500000000000001E-2</v>
      </c>
      <c r="O231" s="256">
        <f>E228*N231</f>
        <v>0.32875000000000004</v>
      </c>
      <c r="P231" s="370">
        <v>127.083</v>
      </c>
      <c r="Q231" s="258">
        <f>N231*P231*$N$11</f>
        <v>1.8307943932162507</v>
      </c>
      <c r="R231" s="989"/>
      <c r="S231" s="989"/>
      <c r="T231" s="989"/>
      <c r="U231" s="1019"/>
      <c r="V231" s="273">
        <f t="shared" si="14"/>
        <v>0</v>
      </c>
      <c r="W231" s="274">
        <f t="shared" si="15"/>
        <v>0</v>
      </c>
      <c r="X231" s="419"/>
    </row>
    <row r="232" spans="1:38" s="413" customFormat="1" ht="14.25" customHeight="1">
      <c r="A232" s="1005">
        <f>+A228+1</f>
        <v>5</v>
      </c>
      <c r="B232" s="1008" t="s">
        <v>188</v>
      </c>
      <c r="C232" s="1558" t="s">
        <v>206</v>
      </c>
      <c r="D232" s="1560" t="s">
        <v>199</v>
      </c>
      <c r="E232" s="1189">
        <v>82.68</v>
      </c>
      <c r="F232" s="1190">
        <f>0.001*14.8</f>
        <v>1.4800000000000001E-2</v>
      </c>
      <c r="G232" s="1191"/>
      <c r="H232" s="1192"/>
      <c r="I232" s="1193">
        <f>0.001*4.98</f>
        <v>4.9800000000000009E-3</v>
      </c>
      <c r="J232" s="1194"/>
      <c r="K232" s="1195"/>
      <c r="L232" s="339" t="s">
        <v>260</v>
      </c>
      <c r="M232" s="177"/>
      <c r="N232" s="404"/>
      <c r="O232" s="545"/>
      <c r="P232" s="545"/>
      <c r="Q232" s="544"/>
      <c r="R232" s="548">
        <f>F233+I233</f>
        <v>5.0637193800000008E-2</v>
      </c>
      <c r="S232" s="1020">
        <f>R232+R233</f>
        <v>0.68863524988560021</v>
      </c>
      <c r="T232" s="1020">
        <f>E232*S232</f>
        <v>56.936362460541432</v>
      </c>
      <c r="U232" s="1196">
        <f>R233*E232</f>
        <v>52.749679277157433</v>
      </c>
      <c r="V232" s="273">
        <f t="shared" si="14"/>
        <v>0.91446434925783115</v>
      </c>
      <c r="W232" s="274">
        <f t="shared" si="15"/>
        <v>75.607912396637488</v>
      </c>
      <c r="X232" s="419"/>
      <c r="Y232" s="156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</row>
    <row r="233" spans="1:38" s="413" customFormat="1" ht="14.25" customHeight="1">
      <c r="A233" s="1006"/>
      <c r="B233" s="1009"/>
      <c r="C233" s="1563"/>
      <c r="D233" s="1564"/>
      <c r="E233" s="1189"/>
      <c r="F233" s="1020">
        <f>F232*J$13/1000</f>
        <v>3.4587600000000003E-2</v>
      </c>
      <c r="G233" s="1020"/>
      <c r="H233" s="1020"/>
      <c r="I233" s="1020">
        <f>I232*$Q$13/1000</f>
        <v>1.6049593800000005E-2</v>
      </c>
      <c r="J233" s="1020"/>
      <c r="K233" s="1020"/>
      <c r="L233" s="249" t="s">
        <v>189</v>
      </c>
      <c r="M233" s="250" t="s">
        <v>124</v>
      </c>
      <c r="N233" s="406">
        <v>1</v>
      </c>
      <c r="O233" s="252">
        <f>E232*N233</f>
        <v>82.68</v>
      </c>
      <c r="P233" s="236">
        <v>0.55000000000000004</v>
      </c>
      <c r="Q233" s="253">
        <f>N233*P233*$N$11</f>
        <v>0.63387670500000026</v>
      </c>
      <c r="R233" s="1020">
        <f>SUM(Q233:Q234)</f>
        <v>0.63799805608560023</v>
      </c>
      <c r="S233" s="1020"/>
      <c r="T233" s="1020"/>
      <c r="U233" s="1196"/>
      <c r="V233" s="273">
        <f t="shared" si="14"/>
        <v>0</v>
      </c>
      <c r="W233" s="274">
        <f t="shared" si="15"/>
        <v>0</v>
      </c>
      <c r="X233" s="419"/>
      <c r="Y233" s="156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</row>
    <row r="234" spans="1:38" s="413" customFormat="1" ht="13.5" customHeight="1">
      <c r="A234" s="1007"/>
      <c r="B234" s="1010"/>
      <c r="C234" s="1559"/>
      <c r="D234" s="1561"/>
      <c r="E234" s="1189"/>
      <c r="F234" s="1020"/>
      <c r="G234" s="1020"/>
      <c r="H234" s="1020"/>
      <c r="I234" s="1020"/>
      <c r="J234" s="1020"/>
      <c r="K234" s="1020"/>
      <c r="L234" s="259" t="s">
        <v>190</v>
      </c>
      <c r="M234" s="260" t="s">
        <v>124</v>
      </c>
      <c r="N234" s="407">
        <v>4.0000000000000001E-3</v>
      </c>
      <c r="O234" s="261">
        <f>E232*N234</f>
        <v>0.33072000000000001</v>
      </c>
      <c r="P234" s="237">
        <v>0.89400000000000002</v>
      </c>
      <c r="Q234" s="412">
        <f t="shared" ref="Q234" si="16">N234*P234*$N$11</f>
        <v>4.1213510856000016E-3</v>
      </c>
      <c r="R234" s="1020"/>
      <c r="S234" s="1020"/>
      <c r="T234" s="1020"/>
      <c r="U234" s="1196"/>
      <c r="V234" s="273">
        <f t="shared" si="14"/>
        <v>0</v>
      </c>
      <c r="W234" s="274">
        <f t="shared" si="15"/>
        <v>0</v>
      </c>
      <c r="X234" s="419"/>
      <c r="Y234" s="156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</row>
    <row r="235" spans="1:38" s="241" customFormat="1">
      <c r="A235" s="1005">
        <f>+A232+1</f>
        <v>6</v>
      </c>
      <c r="B235" s="1437" t="s">
        <v>191</v>
      </c>
      <c r="C235" s="1558" t="s">
        <v>207</v>
      </c>
      <c r="D235" s="1560" t="s">
        <v>199</v>
      </c>
      <c r="E235" s="1562">
        <v>31</v>
      </c>
      <c r="F235" s="1556"/>
      <c r="G235" s="1556"/>
      <c r="H235" s="1556"/>
      <c r="I235" s="1557"/>
      <c r="J235" s="1557"/>
      <c r="K235" s="1557"/>
      <c r="L235" s="414"/>
      <c r="M235" s="415"/>
      <c r="N235" s="415"/>
      <c r="O235" s="415"/>
      <c r="P235" s="415"/>
      <c r="Q235" s="416"/>
      <c r="R235" s="550"/>
      <c r="S235" s="1443">
        <f>R235+R236</f>
        <v>1.294947303370787</v>
      </c>
      <c r="T235" s="1443">
        <f>E235*S235</f>
        <v>40.143366404494394</v>
      </c>
      <c r="U235" s="1445">
        <f>R236*E235</f>
        <v>40.143366404494394</v>
      </c>
      <c r="V235" s="273">
        <f t="shared" si="14"/>
        <v>1.7196086655408256</v>
      </c>
      <c r="W235" s="274">
        <f t="shared" si="15"/>
        <v>53.307868631765594</v>
      </c>
      <c r="X235" s="419"/>
    </row>
    <row r="236" spans="1:38" s="241" customFormat="1" ht="13.5" customHeight="1">
      <c r="A236" s="1007"/>
      <c r="B236" s="1437"/>
      <c r="C236" s="1559"/>
      <c r="D236" s="1561"/>
      <c r="E236" s="1562"/>
      <c r="F236" s="1556"/>
      <c r="G236" s="1556"/>
      <c r="H236" s="1556"/>
      <c r="I236" s="1557"/>
      <c r="J236" s="1557"/>
      <c r="K236" s="1557"/>
      <c r="L236" s="246" t="s">
        <v>192</v>
      </c>
      <c r="M236" s="250" t="s">
        <v>124</v>
      </c>
      <c r="N236" s="264">
        <v>1</v>
      </c>
      <c r="O236" s="265">
        <f>E235*N236</f>
        <v>31</v>
      </c>
      <c r="P236" s="240">
        <f>1 /0.89</f>
        <v>1.1235955056179776</v>
      </c>
      <c r="Q236" s="233">
        <f>N236*P236*$N$11</f>
        <v>1.294947303370787</v>
      </c>
      <c r="R236" s="550">
        <f>SUM(Q236:Q236)</f>
        <v>1.294947303370787</v>
      </c>
      <c r="S236" s="1443"/>
      <c r="T236" s="1443"/>
      <c r="U236" s="1445"/>
      <c r="V236" s="273">
        <f t="shared" si="14"/>
        <v>0</v>
      </c>
      <c r="W236" s="274">
        <f t="shared" si="15"/>
        <v>0</v>
      </c>
      <c r="X236" s="419"/>
    </row>
    <row r="237" spans="1:38" s="156" customFormat="1" ht="14.25" customHeight="1">
      <c r="A237" s="1005">
        <f>+A235+1</f>
        <v>7</v>
      </c>
      <c r="B237" s="1008" t="s">
        <v>261</v>
      </c>
      <c r="C237" s="1011" t="s">
        <v>304</v>
      </c>
      <c r="D237" s="1014" t="s">
        <v>199</v>
      </c>
      <c r="E237" s="1199">
        <v>104</v>
      </c>
      <c r="F237" s="1193">
        <v>0.124</v>
      </c>
      <c r="G237" s="1194"/>
      <c r="H237" s="1195"/>
      <c r="I237" s="1201">
        <f>1.4/1000</f>
        <v>1.4E-3</v>
      </c>
      <c r="J237" s="1202"/>
      <c r="K237" s="1203"/>
      <c r="L237" s="339"/>
      <c r="M237" s="177"/>
      <c r="N237" s="545"/>
      <c r="O237" s="543"/>
      <c r="P237" s="545"/>
      <c r="Q237" s="544"/>
      <c r="R237" s="549">
        <f>F238+I238</f>
        <v>0.29429993399999999</v>
      </c>
      <c r="S237" s="987">
        <f>R237+R238</f>
        <v>0.640050864</v>
      </c>
      <c r="T237" s="987">
        <f>E237*S237</f>
        <v>66.565289855999993</v>
      </c>
      <c r="U237" s="1112">
        <f>R238*E237</f>
        <v>35.958096720000007</v>
      </c>
      <c r="V237" s="273">
        <f t="shared" si="14"/>
        <v>0.84994733705093717</v>
      </c>
      <c r="W237" s="274">
        <f t="shared" si="15"/>
        <v>88.394523053297462</v>
      </c>
      <c r="X237" s="419"/>
      <c r="Y237" s="239"/>
    </row>
    <row r="238" spans="1:38" s="156" customFormat="1" ht="15.75" customHeight="1">
      <c r="A238" s="1007"/>
      <c r="B238" s="1009"/>
      <c r="C238" s="1013"/>
      <c r="D238" s="1016"/>
      <c r="E238" s="1287"/>
      <c r="F238" s="1164">
        <f>F237*J$13/1000</f>
        <v>0.28978799999999999</v>
      </c>
      <c r="G238" s="1520"/>
      <c r="H238" s="1166"/>
      <c r="I238" s="1293">
        <f>I237*$Q$13/1000</f>
        <v>4.5119340000000004E-3</v>
      </c>
      <c r="J238" s="1544"/>
      <c r="K238" s="1295"/>
      <c r="L238" s="246" t="s">
        <v>262</v>
      </c>
      <c r="M238" s="250" t="s">
        <v>124</v>
      </c>
      <c r="N238" s="264">
        <v>1</v>
      </c>
      <c r="O238" s="265">
        <f>E237*N238</f>
        <v>104</v>
      </c>
      <c r="P238" s="243">
        <v>0.3</v>
      </c>
      <c r="Q238" s="233">
        <f>N238*P238*$N$11</f>
        <v>0.34575093000000007</v>
      </c>
      <c r="R238" s="547">
        <f>SUM(Q238:Q238)</f>
        <v>0.34575093000000007</v>
      </c>
      <c r="S238" s="988"/>
      <c r="T238" s="988"/>
      <c r="U238" s="1031"/>
      <c r="V238" s="273">
        <f t="shared" si="14"/>
        <v>0</v>
      </c>
      <c r="W238" s="274">
        <f t="shared" si="15"/>
        <v>0</v>
      </c>
      <c r="X238" s="419"/>
      <c r="Y238" s="239"/>
    </row>
    <row r="239" spans="1:38" s="413" customFormat="1" ht="14.25" customHeight="1">
      <c r="A239" s="1005">
        <f>+A237+1</f>
        <v>8</v>
      </c>
      <c r="B239" s="1008" t="s">
        <v>188</v>
      </c>
      <c r="C239" s="1011" t="s">
        <v>205</v>
      </c>
      <c r="D239" s="1014" t="s">
        <v>199</v>
      </c>
      <c r="E239" s="1189">
        <f>680.4+1827.36+162</f>
        <v>2669.7599999999998</v>
      </c>
      <c r="F239" s="1190">
        <f>0.001*14.8</f>
        <v>1.4800000000000001E-2</v>
      </c>
      <c r="G239" s="1191"/>
      <c r="H239" s="1192"/>
      <c r="I239" s="1193">
        <f>0.001*4.98</f>
        <v>4.9800000000000009E-3</v>
      </c>
      <c r="J239" s="1194"/>
      <c r="K239" s="1195"/>
      <c r="L239" s="339"/>
      <c r="M239" s="177"/>
      <c r="N239" s="404"/>
      <c r="O239" s="545"/>
      <c r="P239" s="558"/>
      <c r="Q239" s="544"/>
      <c r="R239" s="548">
        <f>F240+I240</f>
        <v>5.0637193800000008E-2</v>
      </c>
      <c r="S239" s="1020">
        <f>R239+R240</f>
        <v>0.67732364538560008</v>
      </c>
      <c r="T239" s="1020">
        <f>E239*S239</f>
        <v>1808.2915755046595</v>
      </c>
      <c r="U239" s="1196">
        <f>R240*E239</f>
        <v>1673.1024209851716</v>
      </c>
      <c r="V239" s="273">
        <f t="shared" si="14"/>
        <v>0.89944324911828266</v>
      </c>
      <c r="W239" s="274">
        <f t="shared" si="15"/>
        <v>2401.2976087660263</v>
      </c>
      <c r="X239" s="419"/>
      <c r="Y239" s="156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158"/>
      <c r="AL239" s="158"/>
    </row>
    <row r="240" spans="1:38" s="413" customFormat="1" ht="14.25" customHeight="1">
      <c r="A240" s="1006"/>
      <c r="B240" s="1009"/>
      <c r="C240" s="1012"/>
      <c r="D240" s="1015"/>
      <c r="E240" s="1189"/>
      <c r="F240" s="1020">
        <f>F239*J$13/1000</f>
        <v>3.4587600000000003E-2</v>
      </c>
      <c r="G240" s="1020"/>
      <c r="H240" s="1020"/>
      <c r="I240" s="1020">
        <f>I239*$Q$13/1000</f>
        <v>1.6049593800000005E-2</v>
      </c>
      <c r="J240" s="1020"/>
      <c r="K240" s="1020"/>
      <c r="L240" s="249" t="s">
        <v>189</v>
      </c>
      <c r="M240" s="250" t="s">
        <v>124</v>
      </c>
      <c r="N240" s="406">
        <v>1</v>
      </c>
      <c r="O240" s="252">
        <f>E239*N240</f>
        <v>2669.7599999999998</v>
      </c>
      <c r="P240" s="236">
        <f>2.917/5.4</f>
        <v>0.5401851851851851</v>
      </c>
      <c r="Q240" s="253">
        <f>N240*P240*$N$11</f>
        <v>0.62256510050000013</v>
      </c>
      <c r="R240" s="1020">
        <f>SUM(Q240:Q241)</f>
        <v>0.6266864515856001</v>
      </c>
      <c r="S240" s="1020"/>
      <c r="T240" s="1020"/>
      <c r="U240" s="1196"/>
      <c r="V240" s="273">
        <f t="shared" si="14"/>
        <v>0</v>
      </c>
      <c r="W240" s="274">
        <f t="shared" si="15"/>
        <v>0</v>
      </c>
      <c r="X240" s="419"/>
      <c r="Y240" s="156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8"/>
      <c r="AK240" s="158"/>
      <c r="AL240" s="158"/>
    </row>
    <row r="241" spans="1:39" s="413" customFormat="1" ht="14.25" customHeight="1">
      <c r="A241" s="1007"/>
      <c r="B241" s="1010"/>
      <c r="C241" s="1013"/>
      <c r="D241" s="1016"/>
      <c r="E241" s="1189"/>
      <c r="F241" s="1020"/>
      <c r="G241" s="1020"/>
      <c r="H241" s="1020"/>
      <c r="I241" s="1020"/>
      <c r="J241" s="1020"/>
      <c r="K241" s="1020"/>
      <c r="L241" s="259" t="s">
        <v>190</v>
      </c>
      <c r="M241" s="260" t="s">
        <v>124</v>
      </c>
      <c r="N241" s="407">
        <v>4.0000000000000001E-3</v>
      </c>
      <c r="O241" s="237">
        <f>E239*N241</f>
        <v>10.679039999999999</v>
      </c>
      <c r="P241" s="411">
        <v>0.89400000000000002</v>
      </c>
      <c r="Q241" s="412">
        <f t="shared" ref="Q241" si="17">N241*P241*$N$11</f>
        <v>4.1213510856000016E-3</v>
      </c>
      <c r="R241" s="1020"/>
      <c r="S241" s="1020"/>
      <c r="T241" s="1020"/>
      <c r="U241" s="1196"/>
      <c r="V241" s="273">
        <f t="shared" si="14"/>
        <v>0</v>
      </c>
      <c r="W241" s="274">
        <f t="shared" si="15"/>
        <v>0</v>
      </c>
      <c r="X241" s="419"/>
      <c r="Y241" s="156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  <c r="AL241" s="158"/>
    </row>
    <row r="242" spans="1:39" s="413" customFormat="1" ht="14.25" customHeight="1">
      <c r="A242" s="1005">
        <f>+A239+1</f>
        <v>9</v>
      </c>
      <c r="B242" s="1008" t="s">
        <v>188</v>
      </c>
      <c r="C242" s="1114" t="s">
        <v>220</v>
      </c>
      <c r="D242" s="1014" t="s">
        <v>199</v>
      </c>
      <c r="E242" s="1550">
        <v>112.2</v>
      </c>
      <c r="F242" s="1190">
        <f>0.001*14.8</f>
        <v>1.4800000000000001E-2</v>
      </c>
      <c r="G242" s="1191"/>
      <c r="H242" s="1192"/>
      <c r="I242" s="1553">
        <f>0.001*4.98</f>
        <v>4.9800000000000009E-3</v>
      </c>
      <c r="J242" s="1554"/>
      <c r="K242" s="1555"/>
      <c r="L242" s="339"/>
      <c r="M242" s="177"/>
      <c r="N242" s="404"/>
      <c r="O242" s="545"/>
      <c r="P242" s="545"/>
      <c r="Q242" s="544"/>
      <c r="R242" s="548">
        <f>F243+I243</f>
        <v>5.0637193800000008E-2</v>
      </c>
      <c r="S242" s="1020">
        <f>R242+R243</f>
        <v>0.80938991469120014</v>
      </c>
      <c r="T242" s="1020">
        <f>E242*S242</f>
        <v>90.813548428352661</v>
      </c>
      <c r="U242" s="1196">
        <f>R243*E242</f>
        <v>85.132055283992656</v>
      </c>
      <c r="V242" s="273">
        <f t="shared" si="14"/>
        <v>1.074818957869059</v>
      </c>
      <c r="W242" s="274">
        <f t="shared" si="15"/>
        <v>120.59468707290843</v>
      </c>
      <c r="X242" s="419"/>
      <c r="Y242" s="156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  <c r="AL242" s="158"/>
    </row>
    <row r="243" spans="1:39" s="413" customFormat="1" ht="14.25" customHeight="1">
      <c r="A243" s="1006"/>
      <c r="B243" s="1009"/>
      <c r="C243" s="1549"/>
      <c r="D243" s="1015"/>
      <c r="E243" s="1551"/>
      <c r="F243" s="1020">
        <f>F242*J$13/1000</f>
        <v>3.4587600000000003E-2</v>
      </c>
      <c r="G243" s="1020"/>
      <c r="H243" s="1020"/>
      <c r="I243" s="1020">
        <f>I242*$Q$13/1000</f>
        <v>1.6049593800000005E-2</v>
      </c>
      <c r="J243" s="1020"/>
      <c r="K243" s="1020"/>
      <c r="L243" s="249" t="s">
        <v>208</v>
      </c>
      <c r="M243" s="250" t="s">
        <v>124</v>
      </c>
      <c r="N243" s="406">
        <v>1</v>
      </c>
      <c r="O243" s="252">
        <f>E242*N243</f>
        <v>112.2</v>
      </c>
      <c r="P243" s="236">
        <v>0.65</v>
      </c>
      <c r="Q243" s="253">
        <f>N243*P243*$N$11</f>
        <v>0.74912701500000023</v>
      </c>
      <c r="R243" s="1020">
        <f>SUM(Q243:Q245)</f>
        <v>0.75875272089120016</v>
      </c>
      <c r="S243" s="1020"/>
      <c r="T243" s="1020"/>
      <c r="U243" s="1196"/>
      <c r="V243" s="273">
        <f t="shared" si="14"/>
        <v>0</v>
      </c>
      <c r="W243" s="274">
        <f t="shared" si="15"/>
        <v>0</v>
      </c>
      <c r="X243" s="419"/>
      <c r="Y243" s="156"/>
      <c r="Z243" s="158"/>
      <c r="AA243" s="158"/>
      <c r="AB243" s="158"/>
      <c r="AC243" s="158"/>
      <c r="AD243" s="158"/>
      <c r="AE243" s="158"/>
      <c r="AF243" s="158"/>
      <c r="AG243" s="158"/>
      <c r="AH243" s="158"/>
      <c r="AI243" s="158"/>
      <c r="AJ243" s="158"/>
      <c r="AK243" s="158"/>
      <c r="AL243" s="158"/>
    </row>
    <row r="244" spans="1:39" s="413" customFormat="1" ht="14.25" customHeight="1">
      <c r="A244" s="1006"/>
      <c r="B244" s="1009"/>
      <c r="C244" s="1549"/>
      <c r="D244" s="1015"/>
      <c r="E244" s="1551"/>
      <c r="F244" s="1020"/>
      <c r="G244" s="1020"/>
      <c r="H244" s="1020"/>
      <c r="I244" s="1020"/>
      <c r="J244" s="1020"/>
      <c r="K244" s="1020"/>
      <c r="L244" s="259" t="s">
        <v>190</v>
      </c>
      <c r="M244" s="260" t="s">
        <v>124</v>
      </c>
      <c r="N244" s="407">
        <v>4.0000000000000001E-3</v>
      </c>
      <c r="O244" s="261">
        <f>E242*N244</f>
        <v>0.44880000000000003</v>
      </c>
      <c r="P244" s="237">
        <v>0.89400000000000002</v>
      </c>
      <c r="Q244" s="412">
        <f t="shared" ref="Q244:Q245" si="18">N244*P244*$N$11</f>
        <v>4.1213510856000016E-3</v>
      </c>
      <c r="R244" s="1020"/>
      <c r="S244" s="1020"/>
      <c r="T244" s="1020"/>
      <c r="U244" s="1196"/>
      <c r="V244" s="273">
        <f t="shared" si="14"/>
        <v>0</v>
      </c>
      <c r="W244" s="274">
        <f t="shared" si="15"/>
        <v>0</v>
      </c>
      <c r="X244" s="419"/>
      <c r="Y244" s="156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58"/>
    </row>
    <row r="245" spans="1:39" s="413" customFormat="1" ht="14.25" customHeight="1">
      <c r="A245" s="1007"/>
      <c r="B245" s="1010"/>
      <c r="C245" s="1115"/>
      <c r="D245" s="1016"/>
      <c r="E245" s="1552"/>
      <c r="F245" s="1020"/>
      <c r="G245" s="1020"/>
      <c r="H245" s="1020"/>
      <c r="I245" s="1020"/>
      <c r="J245" s="1020"/>
      <c r="K245" s="1020"/>
      <c r="L245" s="263" t="s">
        <v>209</v>
      </c>
      <c r="M245" s="254" t="s">
        <v>124</v>
      </c>
      <c r="N245" s="408">
        <v>4.0000000000000001E-3</v>
      </c>
      <c r="O245" s="256">
        <f>E242*N245</f>
        <v>0.44880000000000003</v>
      </c>
      <c r="P245" s="411">
        <v>1.194</v>
      </c>
      <c r="Q245" s="258">
        <f t="shared" si="18"/>
        <v>5.5043548056000011E-3</v>
      </c>
      <c r="R245" s="1020"/>
      <c r="S245" s="1020"/>
      <c r="T245" s="1020"/>
      <c r="U245" s="1196"/>
      <c r="V245" s="273">
        <f t="shared" si="14"/>
        <v>0</v>
      </c>
      <c r="W245" s="274">
        <f t="shared" si="15"/>
        <v>0</v>
      </c>
      <c r="X245" s="419"/>
      <c r="Y245" s="156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</row>
    <row r="246" spans="1:39" s="156" customFormat="1" ht="14.25" customHeight="1">
      <c r="A246" s="1005">
        <f>+A242+1</f>
        <v>10</v>
      </c>
      <c r="B246" s="1217" t="s">
        <v>127</v>
      </c>
      <c r="C246" s="1548" t="s">
        <v>306</v>
      </c>
      <c r="D246" s="1014" t="s">
        <v>195</v>
      </c>
      <c r="E246" s="1199">
        <v>310</v>
      </c>
      <c r="F246" s="1193">
        <f>4.1/100</f>
        <v>4.0999999999999995E-2</v>
      </c>
      <c r="G246" s="1194"/>
      <c r="H246" s="1195"/>
      <c r="I246" s="1193">
        <f>0.4/100</f>
        <v>4.0000000000000001E-3</v>
      </c>
      <c r="J246" s="1194"/>
      <c r="K246" s="1195"/>
      <c r="L246" s="266"/>
      <c r="M246" s="177"/>
      <c r="N246" s="545"/>
      <c r="O246" s="545"/>
      <c r="P246" s="545"/>
      <c r="Q246" s="544"/>
      <c r="R246" s="549">
        <f>F247+I247</f>
        <v>0.10870824</v>
      </c>
      <c r="S246" s="987">
        <f>R246+R247</f>
        <v>0.19148698858400004</v>
      </c>
      <c r="T246" s="987">
        <f>E246*S246</f>
        <v>59.360966461040015</v>
      </c>
      <c r="U246" s="1270">
        <f>R247*E246</f>
        <v>25.661412061040007</v>
      </c>
      <c r="V246" s="273">
        <f t="shared" si="14"/>
        <v>0.2542826909251294</v>
      </c>
      <c r="W246" s="274">
        <f t="shared" si="15"/>
        <v>78.827634186790107</v>
      </c>
      <c r="X246" s="419"/>
      <c r="Y246" s="239"/>
    </row>
    <row r="247" spans="1:39" s="156" customFormat="1" ht="14.25" customHeight="1">
      <c r="A247" s="1006"/>
      <c r="B247" s="1217"/>
      <c r="C247" s="1548"/>
      <c r="D247" s="1015"/>
      <c r="E247" s="1287"/>
      <c r="F247" s="1164">
        <f>F246*J$13/1000</f>
        <v>9.5816999999999999E-2</v>
      </c>
      <c r="G247" s="1520"/>
      <c r="H247" s="1166"/>
      <c r="I247" s="1164">
        <f>I246*$Q$13/1000</f>
        <v>1.289124E-2</v>
      </c>
      <c r="J247" s="1520"/>
      <c r="K247" s="1166"/>
      <c r="L247" s="342" t="s">
        <v>128</v>
      </c>
      <c r="M247" s="250" t="s">
        <v>124</v>
      </c>
      <c r="N247" s="265">
        <v>0.03</v>
      </c>
      <c r="O247" s="340">
        <f>E246*N247</f>
        <v>9.2999999999999989</v>
      </c>
      <c r="P247" s="341">
        <f>0.542*2</f>
        <v>1.0840000000000001</v>
      </c>
      <c r="Q247" s="233">
        <f>N247*P247*$N$11</f>
        <v>3.7479400812000012E-2</v>
      </c>
      <c r="R247" s="987">
        <f>SUM(Q247:Q248)</f>
        <v>8.2778748584000028E-2</v>
      </c>
      <c r="S247" s="988"/>
      <c r="T247" s="988"/>
      <c r="U247" s="1270"/>
      <c r="V247" s="273">
        <f t="shared" si="14"/>
        <v>0</v>
      </c>
      <c r="W247" s="274">
        <f t="shared" si="15"/>
        <v>0</v>
      </c>
      <c r="X247" s="419"/>
      <c r="Y247" s="239"/>
    </row>
    <row r="248" spans="1:39" s="156" customFormat="1" ht="14.25" customHeight="1">
      <c r="A248" s="1007"/>
      <c r="B248" s="1217"/>
      <c r="C248" s="1548"/>
      <c r="D248" s="1016"/>
      <c r="E248" s="1200"/>
      <c r="F248" s="1225"/>
      <c r="G248" s="1226"/>
      <c r="H248" s="1167"/>
      <c r="I248" s="1225"/>
      <c r="J248" s="1226"/>
      <c r="K248" s="1167"/>
      <c r="L248" s="343" t="s">
        <v>129</v>
      </c>
      <c r="M248" s="254" t="s">
        <v>124</v>
      </c>
      <c r="N248" s="255">
        <f>17.2/100</f>
        <v>0.17199999999999999</v>
      </c>
      <c r="O248" s="256">
        <f>E246*N248</f>
        <v>53.319999999999993</v>
      </c>
      <c r="P248" s="355">
        <f>0.617/2.7</f>
        <v>0.22851851851851851</v>
      </c>
      <c r="Q248" s="344">
        <f>N248*P248*$N$11</f>
        <v>4.5299347772000009E-2</v>
      </c>
      <c r="R248" s="989"/>
      <c r="S248" s="989"/>
      <c r="T248" s="989"/>
      <c r="U248" s="1270"/>
      <c r="V248" s="273">
        <f t="shared" si="14"/>
        <v>0</v>
      </c>
      <c r="W248" s="274">
        <f t="shared" si="15"/>
        <v>0</v>
      </c>
      <c r="X248" s="419"/>
      <c r="Y248" s="239"/>
    </row>
    <row r="249" spans="1:39" s="156" customFormat="1" ht="14.25" customHeight="1">
      <c r="A249" s="1291">
        <f>+A246+1</f>
        <v>11</v>
      </c>
      <c r="B249" s="1008" t="s">
        <v>147</v>
      </c>
      <c r="C249" s="1296" t="s">
        <v>307</v>
      </c>
      <c r="D249" s="1014" t="s">
        <v>195</v>
      </c>
      <c r="E249" s="1199">
        <f>+E246</f>
        <v>310</v>
      </c>
      <c r="F249" s="1193">
        <f>21.4/100</f>
        <v>0.214</v>
      </c>
      <c r="G249" s="1194"/>
      <c r="H249" s="1195"/>
      <c r="I249" s="1201">
        <f>0.03/100</f>
        <v>2.9999999999999997E-4</v>
      </c>
      <c r="J249" s="1202"/>
      <c r="K249" s="1203"/>
      <c r="L249" s="266"/>
      <c r="M249" s="177"/>
      <c r="N249" s="545"/>
      <c r="O249" s="545"/>
      <c r="P249" s="545"/>
      <c r="Q249" s="544"/>
      <c r="R249" s="549">
        <f>F250+I250</f>
        <v>0.501084843</v>
      </c>
      <c r="S249" s="987">
        <f>R249+R250</f>
        <v>0.89437652587500016</v>
      </c>
      <c r="T249" s="987">
        <f>E249*S249</f>
        <v>277.25672302125002</v>
      </c>
      <c r="U249" s="1270">
        <f>R250*E249</f>
        <v>121.92042169125006</v>
      </c>
      <c r="V249" s="273">
        <f t="shared" si="14"/>
        <v>1.1876758383507549</v>
      </c>
      <c r="W249" s="274">
        <f t="shared" si="15"/>
        <v>368.179509888734</v>
      </c>
      <c r="X249" s="419"/>
    </row>
    <row r="250" spans="1:39" s="156" customFormat="1" ht="14.25" customHeight="1">
      <c r="A250" s="1292"/>
      <c r="B250" s="1010"/>
      <c r="C250" s="1297"/>
      <c r="D250" s="1016"/>
      <c r="E250" s="1200"/>
      <c r="F250" s="993">
        <f>F249*J$13/1000</f>
        <v>0.50011799999999995</v>
      </c>
      <c r="G250" s="994"/>
      <c r="H250" s="995"/>
      <c r="I250" s="1201">
        <f>I249*$Q$13/1000</f>
        <v>9.6684299999999989E-4</v>
      </c>
      <c r="J250" s="1202"/>
      <c r="K250" s="1203"/>
      <c r="L250" s="357" t="s">
        <v>130</v>
      </c>
      <c r="M250" s="243" t="s">
        <v>124</v>
      </c>
      <c r="N250" s="240">
        <f>27.3/100</f>
        <v>0.27300000000000002</v>
      </c>
      <c r="O250" s="340">
        <f>E249*N250</f>
        <v>84.63000000000001</v>
      </c>
      <c r="P250" s="240">
        <v>1.25</v>
      </c>
      <c r="Q250" s="245">
        <f>N250*P250*$N$11</f>
        <v>0.39329168287500016</v>
      </c>
      <c r="R250" s="546">
        <f>SUM(Q250:Q250)</f>
        <v>0.39329168287500016</v>
      </c>
      <c r="S250" s="989"/>
      <c r="T250" s="989"/>
      <c r="U250" s="1270"/>
      <c r="V250" s="273">
        <f t="shared" si="14"/>
        <v>0</v>
      </c>
      <c r="W250" s="274">
        <f t="shared" si="15"/>
        <v>0</v>
      </c>
      <c r="X250" s="419"/>
    </row>
    <row r="251" spans="1:39" s="532" customFormat="1" ht="14.25" customHeight="1">
      <c r="A251" s="1162">
        <f>+A249+1</f>
        <v>12</v>
      </c>
      <c r="B251" s="1168" t="s">
        <v>279</v>
      </c>
      <c r="C251" s="1053" t="s">
        <v>323</v>
      </c>
      <c r="D251" s="1014" t="s">
        <v>197</v>
      </c>
      <c r="E251" s="1170">
        <v>2</v>
      </c>
      <c r="F251" s="1126">
        <v>0.31</v>
      </c>
      <c r="G251" s="1127"/>
      <c r="H251" s="1128"/>
      <c r="I251" s="1126">
        <v>0.31</v>
      </c>
      <c r="J251" s="1127"/>
      <c r="K251" s="1128"/>
      <c r="L251" s="526"/>
      <c r="M251" s="527"/>
      <c r="N251" s="528"/>
      <c r="O251" s="528"/>
      <c r="P251" s="529"/>
      <c r="Q251" s="530"/>
      <c r="R251" s="531">
        <f>F252+I252</f>
        <v>1.7235411</v>
      </c>
      <c r="S251" s="1118">
        <f>R251+R252</f>
        <v>8.4464758500000023</v>
      </c>
      <c r="T251" s="1118">
        <f>E251*S251</f>
        <v>16.892951700000005</v>
      </c>
      <c r="U251" s="1120">
        <f>+R252*E251</f>
        <v>13.445869500000006</v>
      </c>
      <c r="V251" s="273">
        <f t="shared" si="14"/>
        <v>11.216389290230772</v>
      </c>
      <c r="W251" s="274">
        <f t="shared" si="15"/>
        <v>22.432778580461544</v>
      </c>
      <c r="X251" s="419"/>
    </row>
    <row r="252" spans="1:39" s="532" customFormat="1" ht="14.25" customHeight="1">
      <c r="A252" s="1163"/>
      <c r="B252" s="1169"/>
      <c r="C252" s="1286"/>
      <c r="D252" s="1015"/>
      <c r="E252" s="1171"/>
      <c r="F252" s="1126">
        <f>F251*$J$13/1000</f>
        <v>0.72447000000000006</v>
      </c>
      <c r="G252" s="1127"/>
      <c r="H252" s="1128"/>
      <c r="I252" s="1126">
        <f>I251*$Q$13/1000</f>
        <v>0.99907109999999999</v>
      </c>
      <c r="J252" s="1127"/>
      <c r="K252" s="1128"/>
      <c r="L252" s="533" t="s">
        <v>273</v>
      </c>
      <c r="M252" s="534" t="s">
        <v>164</v>
      </c>
      <c r="N252" s="535">
        <v>1</v>
      </c>
      <c r="O252" s="536">
        <f>E251*N252</f>
        <v>2</v>
      </c>
      <c r="P252" s="467">
        <f>7/1.2</f>
        <v>5.8333333333333339</v>
      </c>
      <c r="Q252" s="537">
        <f>N252*P252*$N$11</f>
        <v>6.722934750000003</v>
      </c>
      <c r="R252" s="538">
        <f>+Q252</f>
        <v>6.722934750000003</v>
      </c>
      <c r="S252" s="1119"/>
      <c r="T252" s="1119"/>
      <c r="U252" s="1121"/>
      <c r="V252" s="273">
        <f t="shared" si="14"/>
        <v>0</v>
      </c>
      <c r="W252" s="274">
        <f t="shared" si="15"/>
        <v>0</v>
      </c>
      <c r="X252" s="419"/>
    </row>
    <row r="253" spans="1:39" s="209" customFormat="1" ht="14.25" customHeight="1">
      <c r="A253" s="1162">
        <f t="shared" ref="A253" si="19">+A251+1</f>
        <v>13</v>
      </c>
      <c r="B253" s="1008" t="s">
        <v>280</v>
      </c>
      <c r="C253" s="1053" t="s">
        <v>324</v>
      </c>
      <c r="D253" s="1014" t="s">
        <v>197</v>
      </c>
      <c r="E253" s="1055">
        <v>1</v>
      </c>
      <c r="F253" s="1164">
        <v>1.31</v>
      </c>
      <c r="G253" s="1520"/>
      <c r="H253" s="1166"/>
      <c r="I253" s="1164">
        <v>0.09</v>
      </c>
      <c r="J253" s="1520"/>
      <c r="K253" s="1166"/>
      <c r="L253" s="336"/>
      <c r="M253" s="177"/>
      <c r="N253" s="539"/>
      <c r="O253" s="539"/>
      <c r="P253" s="466"/>
      <c r="Q253" s="544"/>
      <c r="R253" s="549">
        <f>F254+I254</f>
        <v>3.3515229000000004</v>
      </c>
      <c r="S253" s="987">
        <f>R253+R254</f>
        <v>76.34338590000003</v>
      </c>
      <c r="T253" s="987">
        <f>E253*S253</f>
        <v>76.34338590000003</v>
      </c>
      <c r="U253" s="1166">
        <f>R254*E253</f>
        <v>72.991863000000023</v>
      </c>
      <c r="V253" s="273">
        <f t="shared" si="14"/>
        <v>101.3792203038993</v>
      </c>
      <c r="W253" s="274">
        <f t="shared" si="15"/>
        <v>101.3792203038993</v>
      </c>
      <c r="X253" s="419"/>
    </row>
    <row r="254" spans="1:39" s="209" customFormat="1" ht="14.25" customHeight="1">
      <c r="A254" s="1163"/>
      <c r="B254" s="1010"/>
      <c r="C254" s="1286"/>
      <c r="D254" s="1015"/>
      <c r="E254" s="1056"/>
      <c r="F254" s="993">
        <f>F253*$J$13/1000</f>
        <v>3.0614700000000004</v>
      </c>
      <c r="G254" s="994"/>
      <c r="H254" s="995"/>
      <c r="I254" s="993">
        <f>I253*$Q$13/1000</f>
        <v>0.29005289999999995</v>
      </c>
      <c r="J254" s="994"/>
      <c r="K254" s="995"/>
      <c r="L254" s="540" t="s">
        <v>281</v>
      </c>
      <c r="M254" s="243" t="s">
        <v>164</v>
      </c>
      <c r="N254" s="541">
        <v>1</v>
      </c>
      <c r="O254" s="542">
        <f>E253*N254</f>
        <v>1</v>
      </c>
      <c r="P254" s="338">
        <f>76/1.2</f>
        <v>63.333333333333336</v>
      </c>
      <c r="Q254" s="245">
        <f>N254*P254*$N$11</f>
        <v>72.991863000000023</v>
      </c>
      <c r="R254" s="549">
        <f>SUM(Q254:Q254)</f>
        <v>72.991863000000023</v>
      </c>
      <c r="S254" s="989"/>
      <c r="T254" s="989"/>
      <c r="U254" s="1167"/>
      <c r="V254" s="273">
        <f t="shared" si="14"/>
        <v>0</v>
      </c>
      <c r="W254" s="274">
        <f t="shared" si="15"/>
        <v>0</v>
      </c>
      <c r="X254" s="419"/>
    </row>
    <row r="255" spans="1:39" s="335" customFormat="1" ht="14.25" customHeight="1">
      <c r="A255" s="1005">
        <f>1+A253</f>
        <v>14</v>
      </c>
      <c r="B255" s="1008" t="s">
        <v>163</v>
      </c>
      <c r="C255" s="1547" t="s">
        <v>309</v>
      </c>
      <c r="D255" s="1542" t="s">
        <v>194</v>
      </c>
      <c r="E255" s="1055">
        <v>502</v>
      </c>
      <c r="F255" s="993">
        <v>0.27</v>
      </c>
      <c r="G255" s="994"/>
      <c r="H255" s="995"/>
      <c r="I255" s="993">
        <v>0.17</v>
      </c>
      <c r="J255" s="994"/>
      <c r="K255" s="995"/>
      <c r="L255" s="267"/>
      <c r="M255" s="177"/>
      <c r="N255" s="545"/>
      <c r="O255" s="545"/>
      <c r="P255" s="268"/>
      <c r="Q255" s="551"/>
      <c r="R255" s="549">
        <f>F256+I256</f>
        <v>1.1788677000000001</v>
      </c>
      <c r="S255" s="987">
        <f>R255+R256</f>
        <v>7.6132925073000024</v>
      </c>
      <c r="T255" s="987">
        <f>E255*S255</f>
        <v>3821.8728386646012</v>
      </c>
      <c r="U255" s="1017">
        <f>E255*R256</f>
        <v>3230.0812532646009</v>
      </c>
      <c r="V255" s="273">
        <f t="shared" si="14"/>
        <v>10.109974154756378</v>
      </c>
      <c r="W255" s="274">
        <f t="shared" si="15"/>
        <v>5075.2070256877014</v>
      </c>
      <c r="X255" s="419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</row>
    <row r="256" spans="1:39" s="335" customFormat="1" ht="14.25" customHeight="1">
      <c r="A256" s="1007"/>
      <c r="B256" s="1010"/>
      <c r="C256" s="1547"/>
      <c r="D256" s="1542"/>
      <c r="E256" s="1056"/>
      <c r="F256" s="993">
        <f>F255*$J$13/1000</f>
        <v>0.63099000000000005</v>
      </c>
      <c r="G256" s="994"/>
      <c r="H256" s="995"/>
      <c r="I256" s="993">
        <f>I255*$Q$13/1000</f>
        <v>0.54787770000000002</v>
      </c>
      <c r="J256" s="994"/>
      <c r="K256" s="995"/>
      <c r="L256" s="248" t="s">
        <v>268</v>
      </c>
      <c r="M256" s="243" t="s">
        <v>116</v>
      </c>
      <c r="N256" s="244">
        <v>1</v>
      </c>
      <c r="O256" s="247">
        <f>E255*N256</f>
        <v>502</v>
      </c>
      <c r="P256" s="240">
        <v>5.5830000000000002</v>
      </c>
      <c r="Q256" s="245">
        <f>N256*P256*$N$11</f>
        <v>6.4344248073000019</v>
      </c>
      <c r="R256" s="546">
        <f>SUM(Q256:Q256)</f>
        <v>6.4344248073000019</v>
      </c>
      <c r="S256" s="989"/>
      <c r="T256" s="989"/>
      <c r="U256" s="1019"/>
      <c r="V256" s="273">
        <f t="shared" si="14"/>
        <v>0</v>
      </c>
      <c r="W256" s="274">
        <f t="shared" si="15"/>
        <v>0</v>
      </c>
      <c r="X256" s="419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</row>
    <row r="257" spans="1:39" s="209" customFormat="1" ht="14.25" customHeight="1">
      <c r="A257" s="1005">
        <f t="shared" ref="A257" si="20">+A255+1</f>
        <v>15</v>
      </c>
      <c r="B257" s="1008" t="s">
        <v>163</v>
      </c>
      <c r="C257" s="1545" t="s">
        <v>317</v>
      </c>
      <c r="D257" s="1014" t="s">
        <v>194</v>
      </c>
      <c r="E257" s="1055">
        <v>293</v>
      </c>
      <c r="F257" s="993">
        <v>0.27</v>
      </c>
      <c r="G257" s="994"/>
      <c r="H257" s="995"/>
      <c r="I257" s="993">
        <v>0.17</v>
      </c>
      <c r="J257" s="994"/>
      <c r="K257" s="995"/>
      <c r="L257" s="267"/>
      <c r="M257" s="177"/>
      <c r="N257" s="545"/>
      <c r="O257" s="545"/>
      <c r="P257" s="268"/>
      <c r="Q257" s="551"/>
      <c r="R257" s="549">
        <f>F258+I258</f>
        <v>1.1788677000000001</v>
      </c>
      <c r="S257" s="987">
        <f>R257+R258</f>
        <v>5.1192757989000013</v>
      </c>
      <c r="T257" s="987">
        <f>E257*S257</f>
        <v>1499.9478090777004</v>
      </c>
      <c r="U257" s="1017">
        <f>E257*R258</f>
        <v>1154.5395729777003</v>
      </c>
      <c r="V257" s="273">
        <f t="shared" si="14"/>
        <v>6.7980766492713691</v>
      </c>
      <c r="W257" s="274">
        <f t="shared" si="15"/>
        <v>1991.8364582365111</v>
      </c>
      <c r="X257" s="419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</row>
    <row r="258" spans="1:39" s="209" customFormat="1" ht="14.25" customHeight="1">
      <c r="A258" s="1007"/>
      <c r="B258" s="1010"/>
      <c r="C258" s="1546"/>
      <c r="D258" s="1016"/>
      <c r="E258" s="1056"/>
      <c r="F258" s="993">
        <f>F257*$J$13/1000</f>
        <v>0.63099000000000005</v>
      </c>
      <c r="G258" s="994"/>
      <c r="H258" s="995"/>
      <c r="I258" s="993">
        <f>I257*$Q$13/1000</f>
        <v>0.54787770000000002</v>
      </c>
      <c r="J258" s="994"/>
      <c r="K258" s="995"/>
      <c r="L258" s="248" t="s">
        <v>271</v>
      </c>
      <c r="M258" s="243" t="s">
        <v>116</v>
      </c>
      <c r="N258" s="244">
        <v>1</v>
      </c>
      <c r="O258" s="247">
        <f>E257*N258</f>
        <v>293</v>
      </c>
      <c r="P258" s="240">
        <v>3.419</v>
      </c>
      <c r="Q258" s="245">
        <f>N258*P258*$N$11</f>
        <v>3.9404080989000012</v>
      </c>
      <c r="R258" s="546">
        <f>SUM(Q258:Q258)</f>
        <v>3.9404080989000012</v>
      </c>
      <c r="S258" s="989"/>
      <c r="T258" s="989"/>
      <c r="U258" s="1019"/>
      <c r="V258" s="273">
        <f t="shared" si="14"/>
        <v>0</v>
      </c>
      <c r="W258" s="274">
        <f t="shared" si="15"/>
        <v>0</v>
      </c>
      <c r="X258" s="419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</row>
    <row r="259" spans="1:39" s="156" customFormat="1" ht="14.25" customHeight="1">
      <c r="A259" s="1291">
        <f>+A257+1</f>
        <v>16</v>
      </c>
      <c r="B259" s="1008" t="s">
        <v>148</v>
      </c>
      <c r="C259" s="1053" t="s">
        <v>198</v>
      </c>
      <c r="D259" s="1014" t="s">
        <v>199</v>
      </c>
      <c r="E259" s="1199">
        <f>67.2+13+0.9+1</f>
        <v>82.100000000000009</v>
      </c>
      <c r="F259" s="1293">
        <f>0.001*190</f>
        <v>0.19</v>
      </c>
      <c r="G259" s="1544"/>
      <c r="H259" s="1295"/>
      <c r="I259" s="1293">
        <f>0.001*162</f>
        <v>0.16200000000000001</v>
      </c>
      <c r="J259" s="1544"/>
      <c r="K259" s="1295"/>
      <c r="L259" s="336"/>
      <c r="M259" s="177"/>
      <c r="N259" s="545"/>
      <c r="O259" s="545"/>
      <c r="P259" s="545"/>
      <c r="Q259" s="544"/>
      <c r="R259" s="549">
        <f>F260+I260</f>
        <v>0.96612522000000012</v>
      </c>
      <c r="S259" s="987">
        <f>R259+R260</f>
        <v>2.3491289400000004</v>
      </c>
      <c r="T259" s="987">
        <f>E259*S259</f>
        <v>192.86348597400004</v>
      </c>
      <c r="U259" s="1112">
        <f>R260*E259</f>
        <v>113.54460541200004</v>
      </c>
      <c r="V259" s="273">
        <f t="shared" si="14"/>
        <v>3.1194956514304324</v>
      </c>
      <c r="W259" s="274">
        <f t="shared" si="15"/>
        <v>256.1105929824385</v>
      </c>
      <c r="X259" s="419"/>
      <c r="Y259" s="239"/>
    </row>
    <row r="260" spans="1:39" s="156" customFormat="1" ht="14.25" customHeight="1">
      <c r="A260" s="1292"/>
      <c r="B260" s="1010"/>
      <c r="C260" s="1054"/>
      <c r="D260" s="1016"/>
      <c r="E260" s="1200"/>
      <c r="F260" s="993">
        <f>F259*J$13/1000</f>
        <v>0.44403000000000004</v>
      </c>
      <c r="G260" s="994"/>
      <c r="H260" s="995"/>
      <c r="I260" s="993">
        <f>I259*$Q$13/1000</f>
        <v>0.52209522000000008</v>
      </c>
      <c r="J260" s="994"/>
      <c r="K260" s="995"/>
      <c r="L260" s="337" t="s">
        <v>149</v>
      </c>
      <c r="M260" s="243" t="s">
        <v>124</v>
      </c>
      <c r="N260" s="338">
        <v>1</v>
      </c>
      <c r="O260" s="247">
        <f>E259*N260</f>
        <v>82.100000000000009</v>
      </c>
      <c r="P260" s="240">
        <v>1.2</v>
      </c>
      <c r="Q260" s="245">
        <f>N260*P260*$N$11</f>
        <v>1.3830037200000003</v>
      </c>
      <c r="R260" s="549">
        <f>SUM(Q260:Q260)</f>
        <v>1.3830037200000003</v>
      </c>
      <c r="S260" s="989"/>
      <c r="T260" s="989"/>
      <c r="U260" s="1113"/>
      <c r="V260" s="273">
        <f t="shared" si="14"/>
        <v>0</v>
      </c>
      <c r="W260" s="274">
        <f t="shared" si="15"/>
        <v>0</v>
      </c>
      <c r="X260" s="419"/>
      <c r="Y260" s="239"/>
    </row>
    <row r="261" spans="1:39" s="413" customFormat="1" ht="14.25" customHeight="1">
      <c r="A261" s="1539">
        <f>+A259+1</f>
        <v>17</v>
      </c>
      <c r="B261" s="1540" t="s">
        <v>276</v>
      </c>
      <c r="C261" s="1541" t="s">
        <v>320</v>
      </c>
      <c r="D261" s="1542" t="s">
        <v>197</v>
      </c>
      <c r="E261" s="1543">
        <v>1</v>
      </c>
      <c r="F261" s="1027">
        <f>0.6*0.33*11</f>
        <v>2.1779999999999999</v>
      </c>
      <c r="G261" s="1027"/>
      <c r="H261" s="1027"/>
      <c r="I261" s="1027">
        <f>0.6*0.14*11</f>
        <v>0.92400000000000004</v>
      </c>
      <c r="J261" s="1027"/>
      <c r="K261" s="1027"/>
      <c r="L261" s="266"/>
      <c r="M261" s="177"/>
      <c r="N261" s="545"/>
      <c r="O261" s="545"/>
      <c r="P261" s="545"/>
      <c r="Q261" s="544"/>
      <c r="R261" s="548">
        <f>F262+I262</f>
        <v>8.067862439999999</v>
      </c>
      <c r="S261" s="1020">
        <f>R261+R262</f>
        <v>9.6003496050706474</v>
      </c>
      <c r="T261" s="1020">
        <f>E261*S261</f>
        <v>9.6003496050706474</v>
      </c>
      <c r="U261" s="1020">
        <f>R262*E261</f>
        <v>1.532487165070648</v>
      </c>
      <c r="V261" s="273">
        <f t="shared" si="14"/>
        <v>12.748661146386349</v>
      </c>
      <c r="W261" s="274">
        <f t="shared" si="15"/>
        <v>12.748661146386349</v>
      </c>
      <c r="X261" s="419"/>
      <c r="Y261" s="156"/>
      <c r="Z261" s="158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  <c r="AK261" s="158"/>
      <c r="AL261" s="158"/>
    </row>
    <row r="262" spans="1:39" s="413" customFormat="1" ht="14.25" customHeight="1">
      <c r="A262" s="1539"/>
      <c r="B262" s="1540"/>
      <c r="C262" s="1541"/>
      <c r="D262" s="1542"/>
      <c r="E262" s="1543"/>
      <c r="F262" s="1020">
        <f>F261*J$13/1000</f>
        <v>5.0899859999999997</v>
      </c>
      <c r="G262" s="1020"/>
      <c r="H262" s="1020"/>
      <c r="I262" s="1020">
        <f>I261*$Q$13/1000</f>
        <v>2.9778764400000002</v>
      </c>
      <c r="J262" s="1020"/>
      <c r="K262" s="1020"/>
      <c r="L262" s="342" t="s">
        <v>239</v>
      </c>
      <c r="M262" s="250" t="s">
        <v>184</v>
      </c>
      <c r="N262" s="265">
        <f>0.133*3.14*115.05/1000</f>
        <v>4.8047181000000001E-2</v>
      </c>
      <c r="O262" s="340">
        <f>E261*N262</f>
        <v>4.8047181000000001E-2</v>
      </c>
      <c r="P262" s="236">
        <v>0.45800000000000002</v>
      </c>
      <c r="Q262" s="233">
        <f>N262*P262*$N$11</f>
        <v>2.5361532472332592E-2</v>
      </c>
      <c r="R262" s="1020">
        <f>SUM(Q262:Q263)</f>
        <v>1.532487165070648</v>
      </c>
      <c r="S262" s="1020"/>
      <c r="T262" s="1020"/>
      <c r="U262" s="1020"/>
      <c r="V262" s="273">
        <f t="shared" si="14"/>
        <v>0</v>
      </c>
      <c r="W262" s="274">
        <f t="shared" si="15"/>
        <v>0</v>
      </c>
      <c r="X262" s="419"/>
      <c r="Y262" s="156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</row>
    <row r="263" spans="1:39" s="413" customFormat="1" ht="14.25" customHeight="1">
      <c r="A263" s="1539"/>
      <c r="B263" s="1540"/>
      <c r="C263" s="1541"/>
      <c r="D263" s="1542"/>
      <c r="E263" s="1543"/>
      <c r="F263" s="1020"/>
      <c r="G263" s="1020"/>
      <c r="H263" s="1020"/>
      <c r="I263" s="1020"/>
      <c r="J263" s="1020"/>
      <c r="K263" s="1020"/>
      <c r="L263" s="343" t="s">
        <v>264</v>
      </c>
      <c r="M263" s="254" t="s">
        <v>265</v>
      </c>
      <c r="N263" s="255">
        <f>0.133*3.14*14.43</f>
        <v>6.0262566000000009</v>
      </c>
      <c r="O263" s="256">
        <f>E261*N263</f>
        <v>6.0262566000000009</v>
      </c>
      <c r="P263" s="355">
        <v>0.217</v>
      </c>
      <c r="Q263" s="344">
        <f>N263*P263*$N$11</f>
        <v>1.5071256325983153</v>
      </c>
      <c r="R263" s="1020"/>
      <c r="S263" s="1020"/>
      <c r="T263" s="1020"/>
      <c r="U263" s="1020"/>
      <c r="V263" s="273">
        <f t="shared" si="14"/>
        <v>0</v>
      </c>
      <c r="W263" s="274">
        <f t="shared" si="15"/>
        <v>0</v>
      </c>
      <c r="X263" s="419"/>
      <c r="Y263" s="156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58"/>
    </row>
    <row r="264" spans="1:39" s="155" customFormat="1" ht="14.25" customHeight="1">
      <c r="A264" s="1005">
        <f>+A261+1</f>
        <v>18</v>
      </c>
      <c r="B264" s="1008" t="s">
        <v>125</v>
      </c>
      <c r="C264" s="1053" t="s">
        <v>196</v>
      </c>
      <c r="D264" s="1014" t="s">
        <v>194</v>
      </c>
      <c r="E264" s="1199">
        <v>795</v>
      </c>
      <c r="F264" s="1193">
        <f>0.001*5</f>
        <v>5.0000000000000001E-3</v>
      </c>
      <c r="G264" s="1194"/>
      <c r="H264" s="1195"/>
      <c r="I264" s="993">
        <f>0.001*20</f>
        <v>0.02</v>
      </c>
      <c r="J264" s="994"/>
      <c r="K264" s="995"/>
      <c r="L264" s="336"/>
      <c r="M264" s="177"/>
      <c r="N264" s="545"/>
      <c r="O264" s="545"/>
      <c r="P264" s="545"/>
      <c r="Q264" s="544"/>
      <c r="R264" s="549">
        <f>F265+I265</f>
        <v>7.6141199999999992E-2</v>
      </c>
      <c r="S264" s="987">
        <f>R264+R265</f>
        <v>0.1068623226336</v>
      </c>
      <c r="T264" s="987">
        <f>E264*S264</f>
        <v>84.955546493712006</v>
      </c>
      <c r="U264" s="1112">
        <f>R265*E264</f>
        <v>24.423292493712008</v>
      </c>
      <c r="V264" s="273">
        <f t="shared" si="14"/>
        <v>0.14190645097466256</v>
      </c>
      <c r="W264" s="274">
        <f t="shared" si="15"/>
        <v>112.81562852485673</v>
      </c>
      <c r="X264" s="419"/>
    </row>
    <row r="265" spans="1:39" s="155" customFormat="1" ht="14.25" customHeight="1">
      <c r="A265" s="1007"/>
      <c r="B265" s="1010"/>
      <c r="C265" s="1054"/>
      <c r="D265" s="1016"/>
      <c r="E265" s="1200"/>
      <c r="F265" s="1193">
        <f>F264*J$13/1000</f>
        <v>1.1685000000000001E-2</v>
      </c>
      <c r="G265" s="1194"/>
      <c r="H265" s="1195"/>
      <c r="I265" s="1193">
        <f>I264*$Q$13/1000</f>
        <v>6.4456199999999991E-2</v>
      </c>
      <c r="J265" s="1194"/>
      <c r="K265" s="1195"/>
      <c r="L265" s="337" t="s">
        <v>83</v>
      </c>
      <c r="M265" s="243" t="s">
        <v>126</v>
      </c>
      <c r="N265" s="244">
        <v>1E-3</v>
      </c>
      <c r="O265" s="247">
        <f>E264*N265</f>
        <v>0.79500000000000004</v>
      </c>
      <c r="P265" s="240">
        <v>26.655999999999999</v>
      </c>
      <c r="Q265" s="245">
        <f>N265*P265*$N$11</f>
        <v>3.0721122633600009E-2</v>
      </c>
      <c r="R265" s="546">
        <f>Q265</f>
        <v>3.0721122633600009E-2</v>
      </c>
      <c r="S265" s="989"/>
      <c r="T265" s="989"/>
      <c r="U265" s="1113"/>
      <c r="V265" s="273">
        <f t="shared" si="14"/>
        <v>0</v>
      </c>
      <c r="W265" s="274">
        <f t="shared" si="15"/>
        <v>0</v>
      </c>
      <c r="X265" s="419"/>
    </row>
    <row r="266" spans="1:39" s="428" customFormat="1" ht="15" customHeight="1">
      <c r="A266" s="504"/>
      <c r="C266" s="557" t="s">
        <v>312</v>
      </c>
      <c r="D266" s="424"/>
      <c r="E266" s="425">
        <v>1</v>
      </c>
      <c r="F266" s="1537" t="s">
        <v>277</v>
      </c>
      <c r="G266" s="1537"/>
      <c r="H266" s="1537"/>
      <c r="I266" s="1537"/>
      <c r="J266" s="1537"/>
      <c r="K266" s="1537"/>
      <c r="L266" s="1537"/>
      <c r="M266" s="426"/>
      <c r="N266" s="426"/>
      <c r="O266" s="426"/>
      <c r="P266" s="425"/>
      <c r="Q266" s="425"/>
      <c r="R266" s="425"/>
      <c r="S266" s="425"/>
      <c r="T266" s="425"/>
      <c r="U266" s="427">
        <f>+E266</f>
        <v>1</v>
      </c>
      <c r="V266" s="273">
        <f t="shared" si="14"/>
        <v>0</v>
      </c>
      <c r="W266" s="274">
        <f t="shared" si="15"/>
        <v>0</v>
      </c>
      <c r="X266" s="419"/>
    </row>
    <row r="267" spans="1:39" s="433" customFormat="1" ht="12.75">
      <c r="A267" s="1300">
        <v>1</v>
      </c>
      <c r="B267" s="1529" t="s">
        <v>211</v>
      </c>
      <c r="C267" s="1538" t="s">
        <v>200</v>
      </c>
      <c r="D267" s="1531" t="s">
        <v>201</v>
      </c>
      <c r="E267" s="1533">
        <f>2.5*E266</f>
        <v>2.5</v>
      </c>
      <c r="F267" s="1526">
        <f>0.01*194</f>
        <v>1.94</v>
      </c>
      <c r="G267" s="1526"/>
      <c r="H267" s="1526"/>
      <c r="I267" s="1527">
        <v>0</v>
      </c>
      <c r="J267" s="1527"/>
      <c r="K267" s="1527"/>
      <c r="L267" s="429"/>
      <c r="M267" s="430"/>
      <c r="N267" s="430"/>
      <c r="O267" s="430"/>
      <c r="P267" s="431"/>
      <c r="Q267" s="432"/>
      <c r="R267" s="1522">
        <f>F268+I268</f>
        <v>4.5337800000000001</v>
      </c>
      <c r="S267" s="1522">
        <f>R267+R268</f>
        <v>4.5337800000000001</v>
      </c>
      <c r="T267" s="1522">
        <f>E267*S267</f>
        <v>11.33445</v>
      </c>
      <c r="U267" s="1524"/>
      <c r="V267" s="273">
        <f t="shared" si="14"/>
        <v>6.0205750113240972</v>
      </c>
      <c r="W267" s="274">
        <f t="shared" si="15"/>
        <v>15.051437528310244</v>
      </c>
      <c r="X267" s="419"/>
    </row>
    <row r="268" spans="1:39" s="433" customFormat="1" ht="12.75">
      <c r="A268" s="1528"/>
      <c r="B268" s="1530"/>
      <c r="C268" s="1538"/>
      <c r="D268" s="1532"/>
      <c r="E268" s="1534"/>
      <c r="F268" s="1526">
        <f>F267*$J$13/1000</f>
        <v>4.5337800000000001</v>
      </c>
      <c r="G268" s="1526"/>
      <c r="H268" s="1526"/>
      <c r="I268" s="1527">
        <f>I267*$Q$13/1000</f>
        <v>0</v>
      </c>
      <c r="J268" s="1527"/>
      <c r="K268" s="1527"/>
      <c r="L268" s="434"/>
      <c r="M268" s="435"/>
      <c r="N268" s="435"/>
      <c r="O268" s="435" t="s">
        <v>20</v>
      </c>
      <c r="P268" s="436"/>
      <c r="Q268" s="437"/>
      <c r="R268" s="1523"/>
      <c r="S268" s="1523"/>
      <c r="T268" s="1523"/>
      <c r="U268" s="1525"/>
      <c r="V268" s="273">
        <f t="shared" si="14"/>
        <v>0</v>
      </c>
      <c r="W268" s="274">
        <f t="shared" si="15"/>
        <v>0</v>
      </c>
      <c r="X268" s="419"/>
    </row>
    <row r="269" spans="1:39" s="433" customFormat="1" ht="12.75">
      <c r="A269" s="1300">
        <f>+A267+1</f>
        <v>2</v>
      </c>
      <c r="B269" s="1529" t="s">
        <v>212</v>
      </c>
      <c r="C269" s="1180" t="s">
        <v>222</v>
      </c>
      <c r="D269" s="1531" t="s">
        <v>201</v>
      </c>
      <c r="E269" s="1533">
        <f>+E267</f>
        <v>2.5</v>
      </c>
      <c r="F269" s="1526">
        <f>0.01*66.4</f>
        <v>0.66400000000000003</v>
      </c>
      <c r="G269" s="1526"/>
      <c r="H269" s="1526"/>
      <c r="I269" s="1535"/>
      <c r="J269" s="1535"/>
      <c r="K269" s="1535"/>
      <c r="L269" s="438"/>
      <c r="M269" s="439"/>
      <c r="N269" s="440"/>
      <c r="O269" s="440"/>
      <c r="P269" s="441"/>
      <c r="Q269" s="442"/>
      <c r="R269" s="1522">
        <f>F270+I270</f>
        <v>1.551768</v>
      </c>
      <c r="S269" s="1522">
        <f>R269+R270</f>
        <v>1.551768</v>
      </c>
      <c r="T269" s="1522">
        <f>E269*S269</f>
        <v>3.8794200000000001</v>
      </c>
      <c r="U269" s="443"/>
      <c r="V269" s="273">
        <f t="shared" si="14"/>
        <v>2.0606504162470105</v>
      </c>
      <c r="W269" s="274">
        <f t="shared" si="15"/>
        <v>5.1516260406175265</v>
      </c>
      <c r="X269" s="419"/>
    </row>
    <row r="270" spans="1:39" s="433" customFormat="1" ht="10.5" customHeight="1">
      <c r="A270" s="1528"/>
      <c r="B270" s="1530"/>
      <c r="C270" s="1181"/>
      <c r="D270" s="1532"/>
      <c r="E270" s="1534"/>
      <c r="F270" s="1526">
        <f>F269*$J$13/1000</f>
        <v>1.551768</v>
      </c>
      <c r="G270" s="1526"/>
      <c r="H270" s="1526"/>
      <c r="I270" s="1536"/>
      <c r="J270" s="1536"/>
      <c r="K270" s="1536"/>
      <c r="L270" s="434"/>
      <c r="M270" s="444"/>
      <c r="N270" s="445"/>
      <c r="O270" s="445"/>
      <c r="P270" s="436"/>
      <c r="Q270" s="446"/>
      <c r="R270" s="1523"/>
      <c r="S270" s="1523"/>
      <c r="T270" s="1523"/>
      <c r="U270" s="447"/>
      <c r="V270" s="273">
        <f t="shared" si="14"/>
        <v>0</v>
      </c>
      <c r="W270" s="274">
        <f t="shared" si="15"/>
        <v>0</v>
      </c>
      <c r="X270" s="419"/>
    </row>
    <row r="271" spans="1:39" s="156" customFormat="1" ht="12">
      <c r="A271" s="1005">
        <f>+A269+1</f>
        <v>3</v>
      </c>
      <c r="B271" s="1008" t="s">
        <v>213</v>
      </c>
      <c r="C271" s="1011" t="s">
        <v>223</v>
      </c>
      <c r="D271" s="1014" t="s">
        <v>199</v>
      </c>
      <c r="E271" s="1199">
        <f>+((0.4*2.51)+(1.5*3.77)+(6*0.4)+(7*0.22)+(1.5*0.04))*E266</f>
        <v>10.659000000000001</v>
      </c>
      <c r="F271" s="1190">
        <f>36.1/1000</f>
        <v>3.61E-2</v>
      </c>
      <c r="G271" s="1191"/>
      <c r="H271" s="1192"/>
      <c r="I271" s="1193">
        <v>5.7000000000000002E-2</v>
      </c>
      <c r="J271" s="1194"/>
      <c r="K271" s="1195"/>
      <c r="L271" s="417"/>
      <c r="M271" s="177"/>
      <c r="N271" s="545"/>
      <c r="O271" s="545"/>
      <c r="P271" s="545"/>
      <c r="Q271" s="544"/>
      <c r="R271" s="549">
        <f>F272+I272</f>
        <v>0.26806587000000004</v>
      </c>
      <c r="S271" s="987">
        <f>R271+R272+R273+R274</f>
        <v>0.91280676072246025</v>
      </c>
      <c r="T271" s="987">
        <f>E271*S271</f>
        <v>9.7296072625407053</v>
      </c>
      <c r="U271" s="1112">
        <f>E271*Q272</f>
        <v>6.756491798595003</v>
      </c>
      <c r="V271" s="273">
        <f t="shared" si="14"/>
        <v>1.2121500323732819</v>
      </c>
      <c r="W271" s="274">
        <f t="shared" si="15"/>
        <v>12.920307195066812</v>
      </c>
      <c r="X271" s="419"/>
      <c r="Y271" s="239"/>
    </row>
    <row r="272" spans="1:39" s="156" customFormat="1" ht="13.5" customHeight="1">
      <c r="A272" s="1006"/>
      <c r="B272" s="1009"/>
      <c r="C272" s="1012"/>
      <c r="D272" s="1015"/>
      <c r="E272" s="1287"/>
      <c r="F272" s="1164">
        <f>F271*$J$13/1000</f>
        <v>8.4365700000000002E-2</v>
      </c>
      <c r="G272" s="1520"/>
      <c r="H272" s="1166"/>
      <c r="I272" s="1164">
        <f>I271*$Q$13/1000</f>
        <v>0.18370017000000002</v>
      </c>
      <c r="J272" s="1520"/>
      <c r="K272" s="1166"/>
      <c r="L272" s="249" t="s">
        <v>208</v>
      </c>
      <c r="M272" s="250" t="s">
        <v>124</v>
      </c>
      <c r="N272" s="264">
        <v>1</v>
      </c>
      <c r="O272" s="340">
        <f>E271*N272</f>
        <v>10.659000000000001</v>
      </c>
      <c r="P272" s="240">
        <v>0.55000000000000004</v>
      </c>
      <c r="Q272" s="245">
        <f>N272*P272*$N$11</f>
        <v>0.63387670500000026</v>
      </c>
      <c r="R272" s="987">
        <f>SUM(Q272:Q274)</f>
        <v>0.64474089072246021</v>
      </c>
      <c r="S272" s="988"/>
      <c r="T272" s="988"/>
      <c r="U272" s="1031"/>
      <c r="V272" s="273">
        <f t="shared" si="14"/>
        <v>0</v>
      </c>
      <c r="W272" s="274">
        <f t="shared" si="15"/>
        <v>0</v>
      </c>
      <c r="X272" s="419"/>
      <c r="Y272" s="239"/>
    </row>
    <row r="273" spans="1:25" s="156" customFormat="1" ht="12">
      <c r="A273" s="1006"/>
      <c r="B273" s="1009"/>
      <c r="C273" s="1012"/>
      <c r="D273" s="1015"/>
      <c r="E273" s="1287"/>
      <c r="F273" s="1288"/>
      <c r="G273" s="1289"/>
      <c r="H273" s="1290"/>
      <c r="I273" s="1288"/>
      <c r="J273" s="1289"/>
      <c r="K273" s="1290"/>
      <c r="L273" s="337" t="s">
        <v>190</v>
      </c>
      <c r="M273" s="243" t="s">
        <v>124</v>
      </c>
      <c r="N273" s="240">
        <v>4.0000000000000001E-3</v>
      </c>
      <c r="O273" s="247">
        <f>E271*N273</f>
        <v>4.2636E-2</v>
      </c>
      <c r="P273" s="448">
        <v>0.89400000000000002</v>
      </c>
      <c r="Q273" s="449">
        <f>N273*P273*$N$11</f>
        <v>4.1213510856000016E-3</v>
      </c>
      <c r="R273" s="988"/>
      <c r="S273" s="988"/>
      <c r="T273" s="988"/>
      <c r="U273" s="1031"/>
      <c r="V273" s="273">
        <f t="shared" si="14"/>
        <v>0</v>
      </c>
      <c r="W273" s="274">
        <f t="shared" si="15"/>
        <v>0</v>
      </c>
      <c r="X273" s="419"/>
      <c r="Y273" s="239"/>
    </row>
    <row r="274" spans="1:25" s="156" customFormat="1" ht="12">
      <c r="A274" s="1007"/>
      <c r="B274" s="1010"/>
      <c r="C274" s="1013"/>
      <c r="D274" s="1016"/>
      <c r="E274" s="1200"/>
      <c r="F274" s="1225"/>
      <c r="G274" s="1226"/>
      <c r="H274" s="1167"/>
      <c r="I274" s="1225"/>
      <c r="J274" s="1226"/>
      <c r="K274" s="1167"/>
      <c r="L274" s="450" t="s">
        <v>214</v>
      </c>
      <c r="M274" s="243" t="s">
        <v>124</v>
      </c>
      <c r="N274" s="451">
        <v>4.8999999999999998E-3</v>
      </c>
      <c r="O274" s="261">
        <f>E271*N274</f>
        <v>5.2229100000000001E-2</v>
      </c>
      <c r="P274" s="452">
        <v>1.194</v>
      </c>
      <c r="Q274" s="453">
        <f>N274*P274*$N$11</f>
        <v>6.742834636860001E-3</v>
      </c>
      <c r="R274" s="989"/>
      <c r="S274" s="989"/>
      <c r="T274" s="989"/>
      <c r="U274" s="1113"/>
      <c r="V274" s="273">
        <f t="shared" si="14"/>
        <v>0</v>
      </c>
      <c r="W274" s="274">
        <f t="shared" si="15"/>
        <v>0</v>
      </c>
      <c r="X274" s="419"/>
      <c r="Y274" s="239"/>
    </row>
    <row r="275" spans="1:25" s="398" customFormat="1" ht="12">
      <c r="A275" s="1005">
        <f>+A271+1</f>
        <v>4</v>
      </c>
      <c r="B275" s="1008" t="s">
        <v>215</v>
      </c>
      <c r="C275" s="1521" t="s">
        <v>224</v>
      </c>
      <c r="D275" s="1014" t="s">
        <v>197</v>
      </c>
      <c r="E275" s="1055">
        <v>7</v>
      </c>
      <c r="F275" s="993">
        <v>0.23</v>
      </c>
      <c r="G275" s="994"/>
      <c r="H275" s="995"/>
      <c r="I275" s="993">
        <v>0.01</v>
      </c>
      <c r="J275" s="994"/>
      <c r="K275" s="995"/>
      <c r="L275" s="417"/>
      <c r="M275" s="177"/>
      <c r="N275" s="545"/>
      <c r="O275" s="545"/>
      <c r="P275" s="558"/>
      <c r="Q275" s="551"/>
      <c r="R275" s="549">
        <f>F276+I276</f>
        <v>0.56973810000000003</v>
      </c>
      <c r="S275" s="987">
        <f>R275+R276</f>
        <v>5.756002050000002</v>
      </c>
      <c r="T275" s="987">
        <f>E275*S275</f>
        <v>40.292014350000017</v>
      </c>
      <c r="U275" s="1112">
        <f>E275*Q276</f>
        <v>36.303847650000009</v>
      </c>
      <c r="V275" s="273">
        <f t="shared" si="14"/>
        <v>7.6436091092554745</v>
      </c>
      <c r="W275" s="274">
        <f t="shared" si="15"/>
        <v>53.505263764788324</v>
      </c>
      <c r="X275" s="419"/>
      <c r="Y275" s="454"/>
    </row>
    <row r="276" spans="1:25" s="398" customFormat="1" ht="12">
      <c r="A276" s="1007"/>
      <c r="B276" s="1010"/>
      <c r="C276" s="1521"/>
      <c r="D276" s="1016"/>
      <c r="E276" s="1056"/>
      <c r="F276" s="1225">
        <f>F275*$J$13/1000</f>
        <v>0.53751000000000004</v>
      </c>
      <c r="G276" s="1226"/>
      <c r="H276" s="1167"/>
      <c r="I276" s="1225">
        <f>I275*$Q$13/1000</f>
        <v>3.2228099999999996E-2</v>
      </c>
      <c r="J276" s="1226"/>
      <c r="K276" s="1167"/>
      <c r="L276" s="337" t="s">
        <v>216</v>
      </c>
      <c r="M276" s="243" t="s">
        <v>164</v>
      </c>
      <c r="N276" s="244">
        <v>1</v>
      </c>
      <c r="O276" s="247">
        <f>E275*N276</f>
        <v>7</v>
      </c>
      <c r="P276" s="338">
        <v>4.5</v>
      </c>
      <c r="Q276" s="455">
        <f>N276*P276*$N$11</f>
        <v>5.1862639500000016</v>
      </c>
      <c r="R276" s="546">
        <f>SUM(Q276:Q276)</f>
        <v>5.1862639500000016</v>
      </c>
      <c r="S276" s="989"/>
      <c r="T276" s="989"/>
      <c r="U276" s="1113"/>
      <c r="V276" s="273">
        <f t="shared" si="14"/>
        <v>0</v>
      </c>
      <c r="W276" s="274">
        <f t="shared" si="15"/>
        <v>0</v>
      </c>
      <c r="X276" s="419"/>
      <c r="Y276" s="454"/>
    </row>
    <row r="277" spans="1:25" s="156" customFormat="1" ht="12">
      <c r="A277" s="1005">
        <f>+A275+1</f>
        <v>5</v>
      </c>
      <c r="B277" s="1008" t="s">
        <v>217</v>
      </c>
      <c r="C277" s="1053" t="s">
        <v>225</v>
      </c>
      <c r="D277" s="1014" t="s">
        <v>197</v>
      </c>
      <c r="E277" s="1055">
        <f>3*E266</f>
        <v>3</v>
      </c>
      <c r="F277" s="990">
        <v>0.46</v>
      </c>
      <c r="G277" s="991"/>
      <c r="H277" s="992"/>
      <c r="I277" s="993">
        <v>0.08</v>
      </c>
      <c r="J277" s="994"/>
      <c r="K277" s="995"/>
      <c r="L277" s="417"/>
      <c r="M277" s="177"/>
      <c r="N277" s="545"/>
      <c r="O277" s="545"/>
      <c r="P277" s="545"/>
      <c r="Q277" s="551"/>
      <c r="R277" s="549">
        <f>F278+I278</f>
        <v>1.3328448000000002</v>
      </c>
      <c r="S277" s="987">
        <f>R277+R278</f>
        <v>5.8172343621000016</v>
      </c>
      <c r="T277" s="987">
        <f>E277*S277</f>
        <v>17.451703086300004</v>
      </c>
      <c r="U277" s="1112">
        <f>R278*E277</f>
        <v>13.453168686300003</v>
      </c>
      <c r="V277" s="273">
        <f t="shared" si="14"/>
        <v>7.7249217728860113</v>
      </c>
      <c r="W277" s="274">
        <f t="shared" si="15"/>
        <v>23.174765318658032</v>
      </c>
      <c r="X277" s="419"/>
    </row>
    <row r="278" spans="1:25" s="156" customFormat="1" ht="14.25" customHeight="1">
      <c r="A278" s="1007"/>
      <c r="B278" s="1010"/>
      <c r="C278" s="1054"/>
      <c r="D278" s="1016"/>
      <c r="E278" s="1056"/>
      <c r="F278" s="1430">
        <f>F277*$J$13/1000</f>
        <v>1.0750200000000001</v>
      </c>
      <c r="G278" s="1431"/>
      <c r="H278" s="1432"/>
      <c r="I278" s="993">
        <f>I277*$Q$13/1000</f>
        <v>0.25782479999999997</v>
      </c>
      <c r="J278" s="994"/>
      <c r="K278" s="995"/>
      <c r="L278" s="337" t="s">
        <v>218</v>
      </c>
      <c r="M278" s="243" t="s">
        <v>116</v>
      </c>
      <c r="N278" s="244">
        <v>1.5</v>
      </c>
      <c r="O278" s="247">
        <f>E277*N278</f>
        <v>4.5</v>
      </c>
      <c r="P278" s="240">
        <v>2.5939999999999999</v>
      </c>
      <c r="Q278" s="245">
        <f>N278*P278*$N$11</f>
        <v>4.4843895621000014</v>
      </c>
      <c r="R278" s="549">
        <f>SUM(Q278:Q278)</f>
        <v>4.4843895621000014</v>
      </c>
      <c r="S278" s="989"/>
      <c r="T278" s="989"/>
      <c r="U278" s="1113"/>
      <c r="V278" s="273">
        <f t="shared" si="14"/>
        <v>0</v>
      </c>
      <c r="W278" s="274">
        <f t="shared" si="15"/>
        <v>0</v>
      </c>
      <c r="X278" s="419"/>
    </row>
    <row r="279" spans="1:25" s="156" customFormat="1" ht="14.25" customHeight="1">
      <c r="A279" s="1005">
        <f>+A277+1</f>
        <v>6</v>
      </c>
      <c r="B279" s="1008" t="s">
        <v>193</v>
      </c>
      <c r="C279" s="1053" t="s">
        <v>226</v>
      </c>
      <c r="D279" s="1014" t="s">
        <v>194</v>
      </c>
      <c r="E279" s="1199">
        <f>7.5*E266</f>
        <v>7.5</v>
      </c>
      <c r="F279" s="990">
        <v>0.13</v>
      </c>
      <c r="G279" s="991"/>
      <c r="H279" s="992"/>
      <c r="I279" s="1193">
        <v>1.7000000000000001E-2</v>
      </c>
      <c r="J279" s="1194"/>
      <c r="K279" s="1195"/>
      <c r="L279" s="417"/>
      <c r="M279" s="177"/>
      <c r="N279" s="545"/>
      <c r="O279" s="545"/>
      <c r="P279" s="418"/>
      <c r="Q279" s="551"/>
      <c r="R279" s="549">
        <f>F280+I280</f>
        <v>0.35859777000000004</v>
      </c>
      <c r="S279" s="987">
        <f>R279+R280</f>
        <v>1.1930100144000004</v>
      </c>
      <c r="T279" s="987">
        <f>E279*S279</f>
        <v>8.9475751080000023</v>
      </c>
      <c r="U279" s="1112">
        <f>R280*E279</f>
        <v>6.2580918330000026</v>
      </c>
      <c r="V279" s="273">
        <f t="shared" si="14"/>
        <v>1.5842423498617144</v>
      </c>
      <c r="W279" s="274">
        <f t="shared" si="15"/>
        <v>11.881817623962858</v>
      </c>
      <c r="X279" s="419"/>
    </row>
    <row r="280" spans="1:25" s="156" customFormat="1" ht="14.25" customHeight="1">
      <c r="A280" s="1007"/>
      <c r="B280" s="1010"/>
      <c r="C280" s="1286"/>
      <c r="D280" s="1016"/>
      <c r="E280" s="1200"/>
      <c r="F280" s="1430">
        <f>F279*$J$13/1000</f>
        <v>0.30381000000000002</v>
      </c>
      <c r="G280" s="1431"/>
      <c r="H280" s="1432"/>
      <c r="I280" s="993">
        <f>I279*$Q$13/1000</f>
        <v>5.478777E-2</v>
      </c>
      <c r="J280" s="994"/>
      <c r="K280" s="995"/>
      <c r="L280" s="246" t="s">
        <v>219</v>
      </c>
      <c r="M280" s="243" t="s">
        <v>116</v>
      </c>
      <c r="N280" s="244">
        <v>1</v>
      </c>
      <c r="O280" s="247">
        <f>E279*N280</f>
        <v>7.5</v>
      </c>
      <c r="P280" s="240">
        <f>0.543/3*4</f>
        <v>0.72400000000000009</v>
      </c>
      <c r="Q280" s="245">
        <f>N280*P280*$N$11</f>
        <v>0.83441224440000039</v>
      </c>
      <c r="R280" s="549">
        <f>SUM(Q280:Q280)</f>
        <v>0.83441224440000039</v>
      </c>
      <c r="S280" s="989"/>
      <c r="T280" s="989"/>
      <c r="U280" s="1113"/>
      <c r="V280" s="273">
        <f t="shared" si="14"/>
        <v>0</v>
      </c>
      <c r="W280" s="274">
        <f t="shared" si="15"/>
        <v>0</v>
      </c>
      <c r="X280" s="419"/>
    </row>
    <row r="281" spans="1:25" s="428" customFormat="1" ht="14.25" customHeight="1">
      <c r="A281" s="504"/>
      <c r="C281" s="557" t="s">
        <v>313</v>
      </c>
      <c r="D281" s="424"/>
      <c r="E281" s="425">
        <v>1</v>
      </c>
      <c r="F281" s="1537" t="s">
        <v>278</v>
      </c>
      <c r="G281" s="1537"/>
      <c r="H281" s="1537"/>
      <c r="I281" s="1537"/>
      <c r="J281" s="1537"/>
      <c r="K281" s="1537"/>
      <c r="L281" s="1537"/>
      <c r="M281" s="426"/>
      <c r="N281" s="426"/>
      <c r="O281" s="426"/>
      <c r="P281" s="425"/>
      <c r="Q281" s="425"/>
      <c r="R281" s="425"/>
      <c r="S281" s="425"/>
      <c r="T281" s="425"/>
      <c r="U281" s="427">
        <f>+E281</f>
        <v>1</v>
      </c>
      <c r="V281" s="273">
        <f t="shared" si="14"/>
        <v>0</v>
      </c>
      <c r="W281" s="274">
        <f t="shared" si="15"/>
        <v>0</v>
      </c>
      <c r="X281" s="419"/>
    </row>
    <row r="282" spans="1:25" s="433" customFormat="1" ht="14.25" customHeight="1">
      <c r="A282" s="1300">
        <v>1</v>
      </c>
      <c r="B282" s="1529" t="s">
        <v>211</v>
      </c>
      <c r="C282" s="1538" t="s">
        <v>200</v>
      </c>
      <c r="D282" s="1531" t="s">
        <v>201</v>
      </c>
      <c r="E282" s="1533">
        <f>2.5*E281</f>
        <v>2.5</v>
      </c>
      <c r="F282" s="1526">
        <f>0.01*194</f>
        <v>1.94</v>
      </c>
      <c r="G282" s="1526"/>
      <c r="H282" s="1526"/>
      <c r="I282" s="1527">
        <v>0</v>
      </c>
      <c r="J282" s="1527"/>
      <c r="K282" s="1527"/>
      <c r="L282" s="429"/>
      <c r="M282" s="430"/>
      <c r="N282" s="430"/>
      <c r="O282" s="430"/>
      <c r="P282" s="431"/>
      <c r="Q282" s="432"/>
      <c r="R282" s="1522">
        <f>F283+I283</f>
        <v>4.5337800000000001</v>
      </c>
      <c r="S282" s="1522">
        <f>R282+R283</f>
        <v>4.5337800000000001</v>
      </c>
      <c r="T282" s="1522">
        <f>E282*S282</f>
        <v>11.33445</v>
      </c>
      <c r="U282" s="1524"/>
      <c r="V282" s="273">
        <f t="shared" si="14"/>
        <v>6.0205750113240972</v>
      </c>
      <c r="W282" s="274">
        <f t="shared" si="15"/>
        <v>15.051437528310244</v>
      </c>
      <c r="X282" s="419"/>
    </row>
    <row r="283" spans="1:25" s="433" customFormat="1" ht="14.25" customHeight="1">
      <c r="A283" s="1528"/>
      <c r="B283" s="1530"/>
      <c r="C283" s="1538"/>
      <c r="D283" s="1532"/>
      <c r="E283" s="1534"/>
      <c r="F283" s="1526">
        <f>F282*$J$13/1000</f>
        <v>4.5337800000000001</v>
      </c>
      <c r="G283" s="1526"/>
      <c r="H283" s="1526"/>
      <c r="I283" s="1527">
        <f>I282*$Q$13/1000</f>
        <v>0</v>
      </c>
      <c r="J283" s="1527"/>
      <c r="K283" s="1527"/>
      <c r="L283" s="434"/>
      <c r="M283" s="435"/>
      <c r="N283" s="435"/>
      <c r="O283" s="435" t="s">
        <v>20</v>
      </c>
      <c r="P283" s="436"/>
      <c r="Q283" s="437"/>
      <c r="R283" s="1523"/>
      <c r="S283" s="1523"/>
      <c r="T283" s="1523"/>
      <c r="U283" s="1525"/>
      <c r="V283" s="273">
        <f t="shared" si="14"/>
        <v>0</v>
      </c>
      <c r="W283" s="274">
        <f t="shared" si="15"/>
        <v>0</v>
      </c>
      <c r="X283" s="419"/>
    </row>
    <row r="284" spans="1:25" s="433" customFormat="1" ht="14.25" customHeight="1">
      <c r="A284" s="1300">
        <f>+A282+1</f>
        <v>2</v>
      </c>
      <c r="B284" s="1529" t="s">
        <v>212</v>
      </c>
      <c r="C284" s="1180" t="s">
        <v>222</v>
      </c>
      <c r="D284" s="1531" t="s">
        <v>201</v>
      </c>
      <c r="E284" s="1533">
        <f>+E282</f>
        <v>2.5</v>
      </c>
      <c r="F284" s="1526">
        <f>0.01*66.4</f>
        <v>0.66400000000000003</v>
      </c>
      <c r="G284" s="1526"/>
      <c r="H284" s="1526"/>
      <c r="I284" s="1535"/>
      <c r="J284" s="1535"/>
      <c r="K284" s="1535"/>
      <c r="L284" s="438"/>
      <c r="M284" s="439"/>
      <c r="N284" s="440"/>
      <c r="O284" s="440"/>
      <c r="P284" s="441"/>
      <c r="Q284" s="442"/>
      <c r="R284" s="1522">
        <f>F285+I285</f>
        <v>1.551768</v>
      </c>
      <c r="S284" s="1522">
        <f>R284+R285</f>
        <v>1.551768</v>
      </c>
      <c r="T284" s="1522">
        <f>E284*S284</f>
        <v>3.8794200000000001</v>
      </c>
      <c r="U284" s="443"/>
      <c r="V284" s="273">
        <f t="shared" ref="V284:V296" si="21">+$V$14*S284</f>
        <v>2.0606504162470105</v>
      </c>
      <c r="W284" s="274">
        <f t="shared" si="15"/>
        <v>5.1516260406175265</v>
      </c>
      <c r="X284" s="419"/>
    </row>
    <row r="285" spans="1:25" s="433" customFormat="1" ht="14.25" customHeight="1">
      <c r="A285" s="1528"/>
      <c r="B285" s="1530"/>
      <c r="C285" s="1181"/>
      <c r="D285" s="1532"/>
      <c r="E285" s="1534"/>
      <c r="F285" s="1526">
        <f>F284*$J$13/1000</f>
        <v>1.551768</v>
      </c>
      <c r="G285" s="1526"/>
      <c r="H285" s="1526"/>
      <c r="I285" s="1536"/>
      <c r="J285" s="1536"/>
      <c r="K285" s="1536"/>
      <c r="L285" s="434"/>
      <c r="M285" s="444"/>
      <c r="N285" s="445"/>
      <c r="O285" s="445"/>
      <c r="P285" s="436"/>
      <c r="Q285" s="446"/>
      <c r="R285" s="1523"/>
      <c r="S285" s="1523"/>
      <c r="T285" s="1523"/>
      <c r="U285" s="447"/>
      <c r="V285" s="273">
        <f t="shared" si="21"/>
        <v>0</v>
      </c>
      <c r="W285" s="274">
        <f t="shared" ref="W285:W295" si="22">+V285*E285</f>
        <v>0</v>
      </c>
      <c r="X285" s="419"/>
    </row>
    <row r="286" spans="1:25" s="156" customFormat="1" ht="14.25" customHeight="1">
      <c r="A286" s="1005">
        <f>+A284+1</f>
        <v>3</v>
      </c>
      <c r="B286" s="1008" t="s">
        <v>213</v>
      </c>
      <c r="C286" s="1011" t="s">
        <v>223</v>
      </c>
      <c r="D286" s="1014" t="s">
        <v>199</v>
      </c>
      <c r="E286" s="1199">
        <f>+((0.4*2.51)+(1.5*3.77)+(4*0.4)+(7*0.22)+(1.5*0.04))*E281</f>
        <v>9.859</v>
      </c>
      <c r="F286" s="1190">
        <f>36.1/1000</f>
        <v>3.61E-2</v>
      </c>
      <c r="G286" s="1191"/>
      <c r="H286" s="1192"/>
      <c r="I286" s="1193">
        <v>5.7000000000000002E-2</v>
      </c>
      <c r="J286" s="1194"/>
      <c r="K286" s="1195"/>
      <c r="L286" s="417"/>
      <c r="M286" s="177"/>
      <c r="N286" s="545"/>
      <c r="O286" s="545"/>
      <c r="P286" s="545"/>
      <c r="Q286" s="544"/>
      <c r="R286" s="549">
        <f>F287+I287</f>
        <v>0.26806587000000004</v>
      </c>
      <c r="S286" s="987">
        <f>R286+R287+R288+R289</f>
        <v>0.91280676072246025</v>
      </c>
      <c r="T286" s="987">
        <f>E286*S286</f>
        <v>8.9993618539627356</v>
      </c>
      <c r="U286" s="1112">
        <f>E286*Q287</f>
        <v>6.2493904345950027</v>
      </c>
      <c r="V286" s="273">
        <f t="shared" si="21"/>
        <v>1.2121500323732819</v>
      </c>
      <c r="W286" s="274">
        <f t="shared" si="22"/>
        <v>11.950587169168186</v>
      </c>
      <c r="X286" s="419"/>
      <c r="Y286" s="239"/>
    </row>
    <row r="287" spans="1:25" s="156" customFormat="1" ht="14.25" customHeight="1">
      <c r="A287" s="1006"/>
      <c r="B287" s="1009"/>
      <c r="C287" s="1012"/>
      <c r="D287" s="1015"/>
      <c r="E287" s="1287"/>
      <c r="F287" s="1164">
        <f>F286*$J$13/1000</f>
        <v>8.4365700000000002E-2</v>
      </c>
      <c r="G287" s="1520"/>
      <c r="H287" s="1166"/>
      <c r="I287" s="1164">
        <f>I286*$Q$13/1000</f>
        <v>0.18370017000000002</v>
      </c>
      <c r="J287" s="1520"/>
      <c r="K287" s="1166"/>
      <c r="L287" s="249" t="s">
        <v>208</v>
      </c>
      <c r="M287" s="250" t="s">
        <v>124</v>
      </c>
      <c r="N287" s="264">
        <v>1</v>
      </c>
      <c r="O287" s="340">
        <f>E286*N287</f>
        <v>9.859</v>
      </c>
      <c r="P287" s="240">
        <v>0.55000000000000004</v>
      </c>
      <c r="Q287" s="245">
        <f>N287*P287*$N$11</f>
        <v>0.63387670500000026</v>
      </c>
      <c r="R287" s="987">
        <f>SUM(Q287:Q289)</f>
        <v>0.64474089072246021</v>
      </c>
      <c r="S287" s="988"/>
      <c r="T287" s="988"/>
      <c r="U287" s="1031"/>
      <c r="V287" s="273">
        <f t="shared" si="21"/>
        <v>0</v>
      </c>
      <c r="W287" s="274">
        <f t="shared" si="22"/>
        <v>0</v>
      </c>
      <c r="X287" s="419"/>
      <c r="Y287" s="239"/>
    </row>
    <row r="288" spans="1:25" s="156" customFormat="1" ht="14.25" customHeight="1">
      <c r="A288" s="1006"/>
      <c r="B288" s="1009"/>
      <c r="C288" s="1012"/>
      <c r="D288" s="1015"/>
      <c r="E288" s="1287"/>
      <c r="F288" s="1288"/>
      <c r="G288" s="1289"/>
      <c r="H288" s="1290"/>
      <c r="I288" s="1288"/>
      <c r="J288" s="1289"/>
      <c r="K288" s="1290"/>
      <c r="L288" s="337" t="s">
        <v>190</v>
      </c>
      <c r="M288" s="243" t="s">
        <v>124</v>
      </c>
      <c r="N288" s="240">
        <v>4.0000000000000001E-3</v>
      </c>
      <c r="O288" s="247">
        <f>E286*N288</f>
        <v>3.9435999999999999E-2</v>
      </c>
      <c r="P288" s="448">
        <v>0.89400000000000002</v>
      </c>
      <c r="Q288" s="449">
        <f>N288*P288*$N$11</f>
        <v>4.1213510856000016E-3</v>
      </c>
      <c r="R288" s="988"/>
      <c r="S288" s="988"/>
      <c r="T288" s="988"/>
      <c r="U288" s="1031"/>
      <c r="V288" s="273">
        <f t="shared" si="21"/>
        <v>0</v>
      </c>
      <c r="W288" s="274">
        <f t="shared" si="22"/>
        <v>0</v>
      </c>
      <c r="X288" s="419"/>
      <c r="Y288" s="239"/>
    </row>
    <row r="289" spans="1:50" s="156" customFormat="1" ht="14.25" customHeight="1">
      <c r="A289" s="1007"/>
      <c r="B289" s="1010"/>
      <c r="C289" s="1013"/>
      <c r="D289" s="1016"/>
      <c r="E289" s="1200"/>
      <c r="F289" s="1225"/>
      <c r="G289" s="1226"/>
      <c r="H289" s="1167"/>
      <c r="I289" s="1225"/>
      <c r="J289" s="1226"/>
      <c r="K289" s="1167"/>
      <c r="L289" s="450" t="s">
        <v>214</v>
      </c>
      <c r="M289" s="243" t="s">
        <v>124</v>
      </c>
      <c r="N289" s="451">
        <v>4.8999999999999998E-3</v>
      </c>
      <c r="O289" s="261">
        <f>E286*N289</f>
        <v>4.8309100000000001E-2</v>
      </c>
      <c r="P289" s="452">
        <v>1.194</v>
      </c>
      <c r="Q289" s="453">
        <f>N289*P289*$N$11</f>
        <v>6.742834636860001E-3</v>
      </c>
      <c r="R289" s="989"/>
      <c r="S289" s="989"/>
      <c r="T289" s="989"/>
      <c r="U289" s="1113"/>
      <c r="V289" s="273">
        <f t="shared" si="21"/>
        <v>0</v>
      </c>
      <c r="W289" s="274">
        <f t="shared" si="22"/>
        <v>0</v>
      </c>
      <c r="X289" s="419"/>
      <c r="Y289" s="239"/>
    </row>
    <row r="290" spans="1:50" s="398" customFormat="1" ht="14.25" customHeight="1">
      <c r="A290" s="1005">
        <f>+A286+1</f>
        <v>4</v>
      </c>
      <c r="B290" s="1008" t="s">
        <v>215</v>
      </c>
      <c r="C290" s="1521" t="s">
        <v>224</v>
      </c>
      <c r="D290" s="1014" t="s">
        <v>197</v>
      </c>
      <c r="E290" s="1055">
        <v>7</v>
      </c>
      <c r="F290" s="993">
        <v>0.23</v>
      </c>
      <c r="G290" s="994"/>
      <c r="H290" s="995"/>
      <c r="I290" s="993">
        <v>0.01</v>
      </c>
      <c r="J290" s="994"/>
      <c r="K290" s="995"/>
      <c r="L290" s="417"/>
      <c r="M290" s="177"/>
      <c r="N290" s="545"/>
      <c r="O290" s="545"/>
      <c r="P290" s="558"/>
      <c r="Q290" s="551"/>
      <c r="R290" s="549">
        <f>F291+I291</f>
        <v>0.56973810000000003</v>
      </c>
      <c r="S290" s="987">
        <f>R290+R291</f>
        <v>5.756002050000002</v>
      </c>
      <c r="T290" s="987">
        <f>E290*S290</f>
        <v>40.292014350000017</v>
      </c>
      <c r="U290" s="1112">
        <f>E290*Q291</f>
        <v>36.303847650000009</v>
      </c>
      <c r="V290" s="273">
        <f t="shared" si="21"/>
        <v>7.6436091092554745</v>
      </c>
      <c r="W290" s="274">
        <f t="shared" si="22"/>
        <v>53.505263764788324</v>
      </c>
      <c r="X290" s="419"/>
      <c r="Y290" s="454"/>
    </row>
    <row r="291" spans="1:50" s="398" customFormat="1" ht="14.25" customHeight="1">
      <c r="A291" s="1007"/>
      <c r="B291" s="1010"/>
      <c r="C291" s="1521"/>
      <c r="D291" s="1016"/>
      <c r="E291" s="1056"/>
      <c r="F291" s="1225">
        <f>F290*$J$13/1000</f>
        <v>0.53751000000000004</v>
      </c>
      <c r="G291" s="1226"/>
      <c r="H291" s="1167"/>
      <c r="I291" s="1225">
        <f>I290*$Q$13/1000</f>
        <v>3.2228099999999996E-2</v>
      </c>
      <c r="J291" s="1226"/>
      <c r="K291" s="1167"/>
      <c r="L291" s="337" t="s">
        <v>216</v>
      </c>
      <c r="M291" s="243" t="s">
        <v>164</v>
      </c>
      <c r="N291" s="244">
        <v>1</v>
      </c>
      <c r="O291" s="247">
        <f>E290*N291</f>
        <v>7</v>
      </c>
      <c r="P291" s="338">
        <v>4.5</v>
      </c>
      <c r="Q291" s="455">
        <f>N291*P291*$N$11</f>
        <v>5.1862639500000016</v>
      </c>
      <c r="R291" s="546">
        <f>SUM(Q291:Q291)</f>
        <v>5.1862639500000016</v>
      </c>
      <c r="S291" s="989"/>
      <c r="T291" s="989"/>
      <c r="U291" s="1113"/>
      <c r="V291" s="273">
        <f t="shared" si="21"/>
        <v>0</v>
      </c>
      <c r="W291" s="274">
        <f t="shared" si="22"/>
        <v>0</v>
      </c>
      <c r="X291" s="419"/>
      <c r="Y291" s="454"/>
    </row>
    <row r="292" spans="1:50" s="156" customFormat="1" ht="14.25" customHeight="1">
      <c r="A292" s="1005">
        <f>+A290+1</f>
        <v>5</v>
      </c>
      <c r="B292" s="1008" t="s">
        <v>217</v>
      </c>
      <c r="C292" s="1053" t="s">
        <v>225</v>
      </c>
      <c r="D292" s="1014" t="s">
        <v>197</v>
      </c>
      <c r="E292" s="1055">
        <f>3*E281</f>
        <v>3</v>
      </c>
      <c r="F292" s="990">
        <v>0.46</v>
      </c>
      <c r="G292" s="991"/>
      <c r="H292" s="992"/>
      <c r="I292" s="993">
        <v>0.08</v>
      </c>
      <c r="J292" s="994"/>
      <c r="K292" s="995"/>
      <c r="L292" s="417"/>
      <c r="M292" s="177"/>
      <c r="N292" s="545"/>
      <c r="O292" s="545"/>
      <c r="P292" s="545"/>
      <c r="Q292" s="551"/>
      <c r="R292" s="549">
        <f>F293+I293</f>
        <v>1.3328448000000002</v>
      </c>
      <c r="S292" s="987">
        <f>R292+R293</f>
        <v>5.8172343621000016</v>
      </c>
      <c r="T292" s="987">
        <f>E292*S292</f>
        <v>17.451703086300004</v>
      </c>
      <c r="U292" s="1112">
        <f>R293*E292</f>
        <v>13.453168686300003</v>
      </c>
      <c r="V292" s="273">
        <f t="shared" si="21"/>
        <v>7.7249217728860113</v>
      </c>
      <c r="W292" s="274">
        <f t="shared" si="22"/>
        <v>23.174765318658032</v>
      </c>
      <c r="X292" s="419"/>
    </row>
    <row r="293" spans="1:50" s="156" customFormat="1" ht="14.25" customHeight="1">
      <c r="A293" s="1007"/>
      <c r="B293" s="1010"/>
      <c r="C293" s="1054"/>
      <c r="D293" s="1016"/>
      <c r="E293" s="1056"/>
      <c r="F293" s="1430">
        <f>F292*$J$13/1000</f>
        <v>1.0750200000000001</v>
      </c>
      <c r="G293" s="1431"/>
      <c r="H293" s="1432"/>
      <c r="I293" s="993">
        <f>I292*$Q$13/1000</f>
        <v>0.25782479999999997</v>
      </c>
      <c r="J293" s="994"/>
      <c r="K293" s="995"/>
      <c r="L293" s="337" t="s">
        <v>218</v>
      </c>
      <c r="M293" s="243" t="s">
        <v>116</v>
      </c>
      <c r="N293" s="244">
        <v>1.5</v>
      </c>
      <c r="O293" s="247">
        <f>E292*N293</f>
        <v>4.5</v>
      </c>
      <c r="P293" s="240">
        <v>2.5939999999999999</v>
      </c>
      <c r="Q293" s="245">
        <f>N293*P293*$N$11</f>
        <v>4.4843895621000014</v>
      </c>
      <c r="R293" s="549">
        <f>SUM(Q293:Q293)</f>
        <v>4.4843895621000014</v>
      </c>
      <c r="S293" s="989"/>
      <c r="T293" s="989"/>
      <c r="U293" s="1113"/>
      <c r="V293" s="273">
        <f t="shared" si="21"/>
        <v>0</v>
      </c>
      <c r="W293" s="274">
        <f t="shared" si="22"/>
        <v>0</v>
      </c>
      <c r="X293" s="419"/>
    </row>
    <row r="294" spans="1:50" s="156" customFormat="1" ht="14.25" customHeight="1">
      <c r="A294" s="1005">
        <f>+A292+1</f>
        <v>6</v>
      </c>
      <c r="B294" s="1008" t="s">
        <v>193</v>
      </c>
      <c r="C294" s="1053" t="s">
        <v>226</v>
      </c>
      <c r="D294" s="1014" t="s">
        <v>194</v>
      </c>
      <c r="E294" s="1199">
        <f>7.5*E281</f>
        <v>7.5</v>
      </c>
      <c r="F294" s="990">
        <v>0.13</v>
      </c>
      <c r="G294" s="991"/>
      <c r="H294" s="992"/>
      <c r="I294" s="1193">
        <v>1.7000000000000001E-2</v>
      </c>
      <c r="J294" s="1194"/>
      <c r="K294" s="1195"/>
      <c r="L294" s="417"/>
      <c r="M294" s="177"/>
      <c r="N294" s="545"/>
      <c r="O294" s="545"/>
      <c r="P294" s="418"/>
      <c r="Q294" s="551"/>
      <c r="R294" s="549">
        <f>F295+I295</f>
        <v>0.35859777000000004</v>
      </c>
      <c r="S294" s="987">
        <f>R294+R295</f>
        <v>1.1930100144000004</v>
      </c>
      <c r="T294" s="987">
        <f>E294*S294</f>
        <v>8.9475751080000023</v>
      </c>
      <c r="U294" s="1112">
        <f>R295*E294</f>
        <v>6.2580918330000026</v>
      </c>
      <c r="V294" s="273">
        <f t="shared" si="21"/>
        <v>1.5842423498617144</v>
      </c>
      <c r="W294" s="274">
        <f t="shared" si="22"/>
        <v>11.881817623962858</v>
      </c>
      <c r="X294" s="419"/>
    </row>
    <row r="295" spans="1:50" s="156" customFormat="1" ht="14.25" customHeight="1">
      <c r="A295" s="1007"/>
      <c r="B295" s="1010"/>
      <c r="C295" s="1286"/>
      <c r="D295" s="1016"/>
      <c r="E295" s="1200"/>
      <c r="F295" s="1430">
        <f>F294*$J$13/1000</f>
        <v>0.30381000000000002</v>
      </c>
      <c r="G295" s="1431"/>
      <c r="H295" s="1432"/>
      <c r="I295" s="993">
        <f>I294*$Q$13/1000</f>
        <v>5.478777E-2</v>
      </c>
      <c r="J295" s="994"/>
      <c r="K295" s="995"/>
      <c r="L295" s="246" t="s">
        <v>219</v>
      </c>
      <c r="M295" s="243" t="s">
        <v>116</v>
      </c>
      <c r="N295" s="244">
        <v>1</v>
      </c>
      <c r="O295" s="247">
        <f>E294*N295</f>
        <v>7.5</v>
      </c>
      <c r="P295" s="240">
        <f>0.543/3*4</f>
        <v>0.72400000000000009</v>
      </c>
      <c r="Q295" s="245">
        <f>N295*P295*$N$11</f>
        <v>0.83441224440000039</v>
      </c>
      <c r="R295" s="549">
        <f>SUM(Q295:Q295)</f>
        <v>0.83441224440000039</v>
      </c>
      <c r="S295" s="989"/>
      <c r="T295" s="989"/>
      <c r="U295" s="1113"/>
      <c r="V295" s="273">
        <f t="shared" si="21"/>
        <v>0</v>
      </c>
      <c r="W295" s="274">
        <f t="shared" si="22"/>
        <v>0</v>
      </c>
      <c r="X295" s="419"/>
    </row>
    <row r="296" spans="1:50" s="155" customFormat="1" ht="12.75" customHeight="1">
      <c r="A296" s="371"/>
      <c r="B296" s="372"/>
      <c r="C296" s="373" t="s">
        <v>153</v>
      </c>
      <c r="D296" s="374"/>
      <c r="E296" s="375"/>
      <c r="F296" s="376"/>
      <c r="G296" s="377"/>
      <c r="H296" s="376"/>
      <c r="I296" s="376"/>
      <c r="J296" s="377"/>
      <c r="K296" s="376"/>
      <c r="L296" s="378"/>
      <c r="M296" s="379"/>
      <c r="N296" s="380"/>
      <c r="O296" s="381"/>
      <c r="P296" s="376"/>
      <c r="Q296" s="382"/>
      <c r="R296" s="381"/>
      <c r="S296" s="381"/>
      <c r="T296" s="383">
        <f>SUM(T222:T295)-$T$98</f>
        <v>9439.0502096620912</v>
      </c>
      <c r="U296" s="383">
        <f>SUM(U222:U295)-$T$98</f>
        <v>7467.3746344935435</v>
      </c>
      <c r="V296" s="273">
        <f t="shared" si="21"/>
        <v>0</v>
      </c>
      <c r="W296" s="559">
        <f>SUM(W221:W295)</f>
        <v>12958.941027329523</v>
      </c>
      <c r="X296" s="419">
        <v>0.2854238039473514</v>
      </c>
      <c r="Y296" s="158"/>
      <c r="Z296" s="158"/>
      <c r="AA296" s="158"/>
      <c r="AB296" s="158"/>
      <c r="AC296" s="158"/>
      <c r="AD296" s="158"/>
      <c r="AE296" s="158"/>
      <c r="AF296" s="158"/>
      <c r="AG296" s="158"/>
      <c r="AH296" s="158"/>
      <c r="AI296" s="158"/>
      <c r="AJ296" s="158"/>
      <c r="AK296" s="158"/>
      <c r="AL296" s="158"/>
      <c r="AM296" s="158"/>
      <c r="AN296" s="158"/>
      <c r="AO296" s="158"/>
      <c r="AP296" s="158"/>
      <c r="AQ296" s="158"/>
      <c r="AR296" s="158"/>
      <c r="AS296" s="158"/>
      <c r="AT296" s="158"/>
      <c r="AU296" s="158"/>
      <c r="AV296" s="158"/>
      <c r="AW296" s="158"/>
      <c r="AX296" s="158"/>
    </row>
    <row r="297" spans="1:50" s="277" customFormat="1" ht="13.5" customHeight="1">
      <c r="A297" s="275"/>
      <c r="B297" s="276"/>
      <c r="C297" s="1499" t="s">
        <v>153</v>
      </c>
      <c r="D297" s="1500"/>
      <c r="E297" s="1500"/>
      <c r="F297" s="1500"/>
      <c r="G297" s="1500"/>
      <c r="H297" s="1500"/>
      <c r="I297" s="1500"/>
      <c r="J297" s="1500"/>
      <c r="K297" s="1500"/>
      <c r="L297" s="1500"/>
      <c r="M297" s="1500"/>
      <c r="N297" s="1500"/>
      <c r="O297" s="1500"/>
      <c r="P297" s="1500"/>
      <c r="Q297" s="1500"/>
      <c r="R297" s="1500"/>
      <c r="S297" s="1500"/>
      <c r="T297" s="1500"/>
      <c r="U297" s="1500"/>
      <c r="V297" s="1501"/>
      <c r="W297" s="459">
        <f>+W296+W220+W126</f>
        <v>45322.429114773782</v>
      </c>
      <c r="X297" s="362">
        <v>1</v>
      </c>
      <c r="Y297" s="351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  <c r="AN297" s="158"/>
      <c r="AO297" s="158"/>
      <c r="AP297" s="158"/>
      <c r="AQ297" s="158"/>
      <c r="AR297" s="158"/>
    </row>
    <row r="298" spans="1:50" s="277" customFormat="1" ht="13.5" hidden="1" customHeight="1">
      <c r="A298" s="278"/>
      <c r="B298" s="279"/>
      <c r="C298" s="345" t="s">
        <v>150</v>
      </c>
      <c r="D298" s="280"/>
      <c r="E298" s="281"/>
      <c r="F298" s="282"/>
      <c r="G298" s="283"/>
      <c r="H298" s="282"/>
      <c r="I298" s="282"/>
      <c r="J298" s="283"/>
      <c r="K298" s="282"/>
      <c r="L298" s="284"/>
      <c r="M298" s="285"/>
      <c r="N298" s="286"/>
      <c r="O298" s="287"/>
      <c r="P298" s="282"/>
      <c r="Q298" s="283"/>
      <c r="R298" s="287"/>
      <c r="S298" s="287"/>
      <c r="T298" s="288"/>
      <c r="U298" s="289"/>
      <c r="V298" s="290"/>
      <c r="W298" s="291">
        <f>W297*D298</f>
        <v>0</v>
      </c>
      <c r="X298" s="359"/>
      <c r="Y298" s="157"/>
      <c r="Z298" s="158"/>
      <c r="AA298" s="158"/>
      <c r="AB298" s="158"/>
      <c r="AC298" s="158"/>
      <c r="AD298" s="158"/>
      <c r="AE298" s="158"/>
      <c r="AF298" s="158"/>
      <c r="AG298" s="158"/>
      <c r="AH298" s="158"/>
      <c r="AI298" s="158"/>
      <c r="AJ298" s="158"/>
      <c r="AK298" s="158"/>
      <c r="AL298" s="158"/>
      <c r="AM298" s="158"/>
      <c r="AN298" s="158"/>
      <c r="AO298" s="158"/>
      <c r="AP298" s="158"/>
      <c r="AQ298" s="158"/>
      <c r="AR298" s="158"/>
    </row>
    <row r="299" spans="1:50" s="277" customFormat="1" ht="12.75" hidden="1" customHeight="1">
      <c r="A299" s="278"/>
      <c r="B299" s="279"/>
      <c r="C299" s="346" t="s">
        <v>151</v>
      </c>
      <c r="D299" s="280"/>
      <c r="E299" s="287"/>
      <c r="F299" s="282"/>
      <c r="G299" s="283"/>
      <c r="H299" s="282"/>
      <c r="I299" s="282"/>
      <c r="J299" s="283"/>
      <c r="K299" s="282"/>
      <c r="L299" s="284"/>
      <c r="M299" s="285"/>
      <c r="N299" s="286"/>
      <c r="O299" s="287"/>
      <c r="P299" s="282"/>
      <c r="Q299" s="283"/>
      <c r="R299" s="287"/>
      <c r="S299" s="287"/>
      <c r="T299" s="288"/>
      <c r="U299" s="289"/>
      <c r="V299" s="292"/>
      <c r="W299" s="291">
        <f>SUM(W297:W298)</f>
        <v>45322.429114773782</v>
      </c>
      <c r="X299" s="359"/>
      <c r="Y299" s="158"/>
      <c r="Z299" s="158"/>
      <c r="AA299" s="158"/>
      <c r="AB299" s="158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  <c r="AN299" s="158"/>
      <c r="AO299" s="158"/>
      <c r="AP299" s="158"/>
      <c r="AQ299" s="158"/>
      <c r="AR299" s="158"/>
    </row>
    <row r="300" spans="1:50" s="277" customFormat="1" ht="12.75" customHeight="1">
      <c r="A300" s="278"/>
      <c r="B300" s="279"/>
      <c r="C300" s="347" t="s">
        <v>154</v>
      </c>
      <c r="D300" s="280"/>
      <c r="E300" s="287"/>
      <c r="F300" s="282"/>
      <c r="G300" s="283"/>
      <c r="H300" s="282"/>
      <c r="I300" s="282"/>
      <c r="J300" s="283"/>
      <c r="K300" s="282"/>
      <c r="L300" s="284"/>
      <c r="M300" s="285"/>
      <c r="N300" s="286"/>
      <c r="O300" s="287"/>
      <c r="P300" s="282"/>
      <c r="Q300" s="283"/>
      <c r="R300" s="287"/>
      <c r="S300" s="287"/>
      <c r="T300" s="288"/>
      <c r="U300" s="289"/>
      <c r="V300" s="292"/>
      <c r="W300" s="291">
        <f>+'ԱՄՓՈՓ  '!F35</f>
        <v>0</v>
      </c>
      <c r="X300" s="359"/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</row>
    <row r="301" spans="1:50" s="277" customFormat="1" ht="15" customHeight="1">
      <c r="A301" s="278"/>
      <c r="B301" s="279"/>
      <c r="C301" s="347" t="s">
        <v>153</v>
      </c>
      <c r="D301" s="280"/>
      <c r="E301" s="287"/>
      <c r="F301" s="282"/>
      <c r="G301" s="283"/>
      <c r="H301" s="282"/>
      <c r="I301" s="282"/>
      <c r="J301" s="283"/>
      <c r="K301" s="282"/>
      <c r="L301" s="284"/>
      <c r="M301" s="285"/>
      <c r="N301" s="286"/>
      <c r="O301" s="287"/>
      <c r="P301" s="282"/>
      <c r="Q301" s="283"/>
      <c r="R301" s="287"/>
      <c r="S301" s="287"/>
      <c r="T301" s="288"/>
      <c r="U301" s="289"/>
      <c r="V301" s="292"/>
      <c r="W301" s="291">
        <f>+W299+W300</f>
        <v>45322.429114773782</v>
      </c>
      <c r="X301" s="359"/>
      <c r="Y301" s="158"/>
      <c r="Z301" s="158"/>
      <c r="AA301" s="158"/>
      <c r="AB301" s="158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  <c r="AN301" s="158"/>
      <c r="AO301" s="158"/>
      <c r="AP301" s="158"/>
      <c r="AQ301" s="158"/>
      <c r="AR301" s="158"/>
    </row>
    <row r="302" spans="1:50" s="277" customFormat="1" ht="13.5" customHeight="1">
      <c r="A302" s="278"/>
      <c r="B302" s="279"/>
      <c r="C302" s="346" t="s">
        <v>152</v>
      </c>
      <c r="D302" s="280">
        <v>0.2</v>
      </c>
      <c r="E302" s="287"/>
      <c r="F302" s="282"/>
      <c r="G302" s="283"/>
      <c r="H302" s="282"/>
      <c r="I302" s="282"/>
      <c r="J302" s="283"/>
      <c r="K302" s="282"/>
      <c r="L302" s="284"/>
      <c r="M302" s="285"/>
      <c r="N302" s="286"/>
      <c r="O302" s="287"/>
      <c r="P302" s="282"/>
      <c r="Q302" s="283"/>
      <c r="R302" s="287"/>
      <c r="S302" s="287"/>
      <c r="T302" s="288"/>
      <c r="U302" s="289"/>
      <c r="V302" s="292"/>
      <c r="W302" s="291">
        <f>+(W301)*D302</f>
        <v>9064.4858229547572</v>
      </c>
      <c r="X302" s="359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</row>
    <row r="303" spans="1:50" s="277" customFormat="1" ht="13.5" customHeight="1">
      <c r="A303" s="278"/>
      <c r="B303" s="279"/>
      <c r="C303" s="348" t="s">
        <v>151</v>
      </c>
      <c r="D303" s="293"/>
      <c r="E303" s="287"/>
      <c r="F303" s="282"/>
      <c r="G303" s="283"/>
      <c r="H303" s="282"/>
      <c r="I303" s="282"/>
      <c r="J303" s="283"/>
      <c r="K303" s="282"/>
      <c r="L303" s="284"/>
      <c r="M303" s="285"/>
      <c r="N303" s="286"/>
      <c r="O303" s="287"/>
      <c r="P303" s="282"/>
      <c r="Q303" s="283"/>
      <c r="R303" s="287"/>
      <c r="S303" s="287"/>
      <c r="T303" s="288"/>
      <c r="U303" s="289"/>
      <c r="V303" s="292"/>
      <c r="W303" s="294">
        <f>SUM(W301:W302)</f>
        <v>54386.914937728536</v>
      </c>
      <c r="X303" s="359"/>
      <c r="Y303" s="158"/>
      <c r="Z303" s="158"/>
      <c r="AA303" s="158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158"/>
      <c r="AL303" s="158"/>
      <c r="AM303" s="158"/>
      <c r="AN303" s="158"/>
      <c r="AO303" s="158"/>
      <c r="AP303" s="158"/>
      <c r="AQ303" s="158"/>
      <c r="AR303" s="158"/>
    </row>
    <row r="304" spans="1:50" s="277" customFormat="1" ht="14.25" customHeight="1" thickBot="1">
      <c r="A304" s="356"/>
      <c r="B304" s="295"/>
      <c r="C304" s="349" t="s">
        <v>155</v>
      </c>
      <c r="D304" s="296"/>
      <c r="E304" s="297"/>
      <c r="F304" s="298"/>
      <c r="G304" s="299"/>
      <c r="H304" s="298"/>
      <c r="I304" s="298"/>
      <c r="J304" s="299"/>
      <c r="K304" s="298"/>
      <c r="L304" s="300"/>
      <c r="M304" s="301"/>
      <c r="N304" s="302"/>
      <c r="O304" s="303"/>
      <c r="P304" s="302"/>
      <c r="Q304" s="303"/>
      <c r="R304" s="303"/>
      <c r="S304" s="303"/>
      <c r="T304" s="304"/>
      <c r="U304" s="303"/>
      <c r="V304" s="305"/>
      <c r="W304" s="460">
        <f>+W303</f>
        <v>54386.914937728536</v>
      </c>
      <c r="X304" s="360"/>
      <c r="Y304" s="461">
        <f>+'ԱՄՓՈՓ  '!D67+'ԱՄՓՈՓ  '!F35*1.2</f>
        <v>8232.3545003670315</v>
      </c>
      <c r="Z304" s="366">
        <f>+W304-Y304</f>
        <v>46154.560437361506</v>
      </c>
      <c r="AA304" s="158"/>
      <c r="AB304" s="158"/>
      <c r="AC304" s="158"/>
      <c r="AD304" s="158"/>
      <c r="AE304" s="158"/>
      <c r="AF304" s="158"/>
      <c r="AG304" s="158"/>
      <c r="AH304" s="158"/>
      <c r="AI304" s="158"/>
      <c r="AJ304" s="158"/>
      <c r="AK304" s="158"/>
      <c r="AL304" s="158"/>
      <c r="AM304" s="158"/>
      <c r="AN304" s="158"/>
      <c r="AO304" s="158"/>
      <c r="AP304" s="158"/>
      <c r="AQ304" s="158"/>
      <c r="AR304" s="158"/>
    </row>
    <row r="305" spans="1:44" s="157" customFormat="1" ht="21" customHeight="1" thickTop="1">
      <c r="A305" s="159"/>
      <c r="B305" s="160"/>
      <c r="C305" s="1621" t="s">
        <v>178</v>
      </c>
      <c r="D305" s="1621"/>
      <c r="E305" s="1621"/>
      <c r="F305" s="1621"/>
      <c r="G305" s="1621"/>
      <c r="H305" s="1621"/>
      <c r="I305" s="1621"/>
      <c r="J305" s="1621"/>
      <c r="K305" s="1621"/>
      <c r="L305" s="1621"/>
      <c r="M305" s="1621"/>
      <c r="N305" s="1621"/>
      <c r="O305" s="1621"/>
      <c r="P305" s="1621"/>
      <c r="Q305" s="1621"/>
      <c r="R305" s="1621"/>
      <c r="S305" s="1621"/>
      <c r="T305" s="1621"/>
      <c r="U305" s="1621"/>
      <c r="V305" s="1621"/>
      <c r="W305" s="1621"/>
      <c r="X305" s="359"/>
      <c r="Y305" s="158"/>
      <c r="Z305" s="158"/>
      <c r="AA305" s="158"/>
      <c r="AB305" s="158"/>
      <c r="AC305" s="158"/>
      <c r="AD305" s="158"/>
      <c r="AE305" s="158"/>
      <c r="AF305" s="158"/>
      <c r="AG305" s="158"/>
      <c r="AH305" s="158"/>
      <c r="AI305" s="158"/>
      <c r="AJ305" s="158"/>
      <c r="AK305" s="158"/>
      <c r="AL305" s="158"/>
      <c r="AM305" s="158"/>
      <c r="AN305" s="158"/>
      <c r="AO305" s="158"/>
      <c r="AP305" s="158"/>
      <c r="AQ305" s="158"/>
      <c r="AR305" s="158"/>
    </row>
  </sheetData>
  <mergeCells count="1407">
    <mergeCell ref="A1:X1"/>
    <mergeCell ref="A2:C2"/>
    <mergeCell ref="E6:R6"/>
    <mergeCell ref="E7:R7"/>
    <mergeCell ref="A9:B9"/>
    <mergeCell ref="P9:R9"/>
    <mergeCell ref="A4:V4"/>
    <mergeCell ref="I14:K14"/>
    <mergeCell ref="A15:A19"/>
    <mergeCell ref="B15:B19"/>
    <mergeCell ref="C15:C19"/>
    <mergeCell ref="D15:D19"/>
    <mergeCell ref="E15:E19"/>
    <mergeCell ref="F15:H19"/>
    <mergeCell ref="I15:K19"/>
    <mergeCell ref="E10:G10"/>
    <mergeCell ref="P10:R10"/>
    <mergeCell ref="D11:F11"/>
    <mergeCell ref="N11:P11"/>
    <mergeCell ref="A13:C13"/>
    <mergeCell ref="E13:I13"/>
    <mergeCell ref="J13:L13"/>
    <mergeCell ref="M13:P13"/>
    <mergeCell ref="Q13:S13"/>
    <mergeCell ref="C297:V297"/>
    <mergeCell ref="C305:W305"/>
    <mergeCell ref="W15:W19"/>
    <mergeCell ref="X15:X19"/>
    <mergeCell ref="L16:L19"/>
    <mergeCell ref="M16:M19"/>
    <mergeCell ref="N16:N19"/>
    <mergeCell ref="O16:O19"/>
    <mergeCell ref="P16:P19"/>
    <mergeCell ref="Q16:Q19"/>
    <mergeCell ref="L15:Q15"/>
    <mergeCell ref="R15:R19"/>
    <mergeCell ref="S15:S19"/>
    <mergeCell ref="T15:T19"/>
    <mergeCell ref="U15:U19"/>
    <mergeCell ref="V15:V19"/>
    <mergeCell ref="F20:H20"/>
    <mergeCell ref="I20:K20"/>
    <mergeCell ref="T22:T23"/>
    <mergeCell ref="U22:U23"/>
    <mergeCell ref="F23:H23"/>
    <mergeCell ref="I23:K23"/>
    <mergeCell ref="D30:D31"/>
    <mergeCell ref="E30:E31"/>
    <mergeCell ref="F30:H30"/>
    <mergeCell ref="I30:K30"/>
    <mergeCell ref="R30:R31"/>
    <mergeCell ref="S30:S31"/>
    <mergeCell ref="T26:T27"/>
    <mergeCell ref="U26:U27"/>
    <mergeCell ref="F27:H27"/>
    <mergeCell ref="I27:K27"/>
    <mergeCell ref="A24:A25"/>
    <mergeCell ref="B24:B25"/>
    <mergeCell ref="C24:C25"/>
    <mergeCell ref="D24:D25"/>
    <mergeCell ref="E24:E25"/>
    <mergeCell ref="F24:H24"/>
    <mergeCell ref="I24:K24"/>
    <mergeCell ref="R24:R25"/>
    <mergeCell ref="S24:S25"/>
    <mergeCell ref="T24:T25"/>
    <mergeCell ref="U24:U25"/>
    <mergeCell ref="F25:H25"/>
    <mergeCell ref="I25:K25"/>
    <mergeCell ref="A22:A23"/>
    <mergeCell ref="B22:B23"/>
    <mergeCell ref="C22:C23"/>
    <mergeCell ref="D22:D23"/>
    <mergeCell ref="E22:E23"/>
    <mergeCell ref="F22:H22"/>
    <mergeCell ref="I22:K22"/>
    <mergeCell ref="R22:R23"/>
    <mergeCell ref="S22:S23"/>
    <mergeCell ref="A28:A29"/>
    <mergeCell ref="B28:B29"/>
    <mergeCell ref="C28:C29"/>
    <mergeCell ref="D28:D29"/>
    <mergeCell ref="E28:E29"/>
    <mergeCell ref="F28:H28"/>
    <mergeCell ref="I28:K28"/>
    <mergeCell ref="R28:R29"/>
    <mergeCell ref="S28:S29"/>
    <mergeCell ref="T28:T29"/>
    <mergeCell ref="U28:U29"/>
    <mergeCell ref="F29:H29"/>
    <mergeCell ref="I29:K29"/>
    <mergeCell ref="A26:A27"/>
    <mergeCell ref="B26:B27"/>
    <mergeCell ref="C26:C27"/>
    <mergeCell ref="D26:D27"/>
    <mergeCell ref="E26:E27"/>
    <mergeCell ref="F26:H26"/>
    <mergeCell ref="I26:K26"/>
    <mergeCell ref="R26:R27"/>
    <mergeCell ref="S26:S27"/>
    <mergeCell ref="U32:U33"/>
    <mergeCell ref="F33:H33"/>
    <mergeCell ref="I33:K33"/>
    <mergeCell ref="A34:A35"/>
    <mergeCell ref="B34:B35"/>
    <mergeCell ref="C34:C35"/>
    <mergeCell ref="D34:D35"/>
    <mergeCell ref="E34:E35"/>
    <mergeCell ref="F34:H34"/>
    <mergeCell ref="I34:K34"/>
    <mergeCell ref="R34:R35"/>
    <mergeCell ref="S34:S35"/>
    <mergeCell ref="T34:T35"/>
    <mergeCell ref="U34:U35"/>
    <mergeCell ref="F35:H35"/>
    <mergeCell ref="I35:K35"/>
    <mergeCell ref="T30:T31"/>
    <mergeCell ref="F31:H31"/>
    <mergeCell ref="I31:K31"/>
    <mergeCell ref="A32:A33"/>
    <mergeCell ref="B32:B33"/>
    <mergeCell ref="C32:C33"/>
    <mergeCell ref="D32:D33"/>
    <mergeCell ref="E32:E33"/>
    <mergeCell ref="F32:H32"/>
    <mergeCell ref="I32:K32"/>
    <mergeCell ref="R32:R33"/>
    <mergeCell ref="S32:S33"/>
    <mergeCell ref="T32:T33"/>
    <mergeCell ref="A30:A31"/>
    <mergeCell ref="B30:B31"/>
    <mergeCell ref="C30:C31"/>
    <mergeCell ref="U36:U37"/>
    <mergeCell ref="F37:H37"/>
    <mergeCell ref="I37:K37"/>
    <mergeCell ref="A38:A39"/>
    <mergeCell ref="B38:B39"/>
    <mergeCell ref="C38:C39"/>
    <mergeCell ref="D38:D39"/>
    <mergeCell ref="E38:E39"/>
    <mergeCell ref="F38:H38"/>
    <mergeCell ref="I38:K38"/>
    <mergeCell ref="R38:R39"/>
    <mergeCell ref="S38:S39"/>
    <mergeCell ref="T38:T39"/>
    <mergeCell ref="U38:U39"/>
    <mergeCell ref="F39:H39"/>
    <mergeCell ref="I39:K39"/>
    <mergeCell ref="A36:A37"/>
    <mergeCell ref="B36:B37"/>
    <mergeCell ref="C36:C37"/>
    <mergeCell ref="D36:D37"/>
    <mergeCell ref="E36:E37"/>
    <mergeCell ref="F36:H36"/>
    <mergeCell ref="I36:K36"/>
    <mergeCell ref="S36:S37"/>
    <mergeCell ref="T36:T37"/>
    <mergeCell ref="T40:T41"/>
    <mergeCell ref="U40:U41"/>
    <mergeCell ref="F41:H41"/>
    <mergeCell ref="I41:K41"/>
    <mergeCell ref="A42:A43"/>
    <mergeCell ref="B42:B43"/>
    <mergeCell ref="C42:C43"/>
    <mergeCell ref="D42:D43"/>
    <mergeCell ref="E42:E43"/>
    <mergeCell ref="F42:H42"/>
    <mergeCell ref="I42:K42"/>
    <mergeCell ref="S42:S43"/>
    <mergeCell ref="T42:T43"/>
    <mergeCell ref="U42:U43"/>
    <mergeCell ref="F43:H43"/>
    <mergeCell ref="I43:K43"/>
    <mergeCell ref="A40:A41"/>
    <mergeCell ref="B40:B41"/>
    <mergeCell ref="C40:C41"/>
    <mergeCell ref="D40:D41"/>
    <mergeCell ref="E40:E41"/>
    <mergeCell ref="F40:H40"/>
    <mergeCell ref="I40:K40"/>
    <mergeCell ref="R40:R41"/>
    <mergeCell ref="S40:S41"/>
    <mergeCell ref="U44:U47"/>
    <mergeCell ref="F45:H47"/>
    <mergeCell ref="I45:K47"/>
    <mergeCell ref="R45:R47"/>
    <mergeCell ref="A48:A49"/>
    <mergeCell ref="B48:B49"/>
    <mergeCell ref="C48:C49"/>
    <mergeCell ref="D48:D49"/>
    <mergeCell ref="E48:E49"/>
    <mergeCell ref="F48:H48"/>
    <mergeCell ref="I48:K48"/>
    <mergeCell ref="S48:S49"/>
    <mergeCell ref="T48:T49"/>
    <mergeCell ref="U48:U49"/>
    <mergeCell ref="F49:H49"/>
    <mergeCell ref="I49:K49"/>
    <mergeCell ref="A44:A47"/>
    <mergeCell ref="B44:B47"/>
    <mergeCell ref="C44:C47"/>
    <mergeCell ref="D44:D47"/>
    <mergeCell ref="E44:E47"/>
    <mergeCell ref="F44:H44"/>
    <mergeCell ref="I44:K44"/>
    <mergeCell ref="S44:S47"/>
    <mergeCell ref="T44:T47"/>
    <mergeCell ref="U50:U53"/>
    <mergeCell ref="F51:H53"/>
    <mergeCell ref="I51:K53"/>
    <mergeCell ref="R51:R53"/>
    <mergeCell ref="A54:A55"/>
    <mergeCell ref="B54:B55"/>
    <mergeCell ref="C54:C55"/>
    <mergeCell ref="D54:D55"/>
    <mergeCell ref="E54:E55"/>
    <mergeCell ref="F54:H54"/>
    <mergeCell ref="I54:K54"/>
    <mergeCell ref="S54:S55"/>
    <mergeCell ref="T54:T55"/>
    <mergeCell ref="U54:U55"/>
    <mergeCell ref="F55:H55"/>
    <mergeCell ref="I55:K55"/>
    <mergeCell ref="A50:A53"/>
    <mergeCell ref="B50:B53"/>
    <mergeCell ref="C50:C53"/>
    <mergeCell ref="D50:D53"/>
    <mergeCell ref="E50:E53"/>
    <mergeCell ref="F50:H50"/>
    <mergeCell ref="I50:K50"/>
    <mergeCell ref="S50:S53"/>
    <mergeCell ref="T50:T53"/>
    <mergeCell ref="U56:U59"/>
    <mergeCell ref="F57:H59"/>
    <mergeCell ref="I57:K59"/>
    <mergeCell ref="R57:R59"/>
    <mergeCell ref="A60:A62"/>
    <mergeCell ref="B60:B62"/>
    <mergeCell ref="C60:C62"/>
    <mergeCell ref="D60:D62"/>
    <mergeCell ref="E60:E62"/>
    <mergeCell ref="F60:H60"/>
    <mergeCell ref="I60:K60"/>
    <mergeCell ref="S60:S62"/>
    <mergeCell ref="T60:T62"/>
    <mergeCell ref="U60:U62"/>
    <mergeCell ref="F61:H62"/>
    <mergeCell ref="I61:K62"/>
    <mergeCell ref="R61:R62"/>
    <mergeCell ref="A56:A59"/>
    <mergeCell ref="B56:B59"/>
    <mergeCell ref="C56:C59"/>
    <mergeCell ref="D56:D59"/>
    <mergeCell ref="E56:E59"/>
    <mergeCell ref="F56:H56"/>
    <mergeCell ref="I56:K56"/>
    <mergeCell ref="S56:S59"/>
    <mergeCell ref="T56:T59"/>
    <mergeCell ref="U63:U65"/>
    <mergeCell ref="F64:H65"/>
    <mergeCell ref="I64:K65"/>
    <mergeCell ref="R64:R65"/>
    <mergeCell ref="A66:A67"/>
    <mergeCell ref="B66:B67"/>
    <mergeCell ref="C66:C67"/>
    <mergeCell ref="D66:D67"/>
    <mergeCell ref="E66:E67"/>
    <mergeCell ref="F66:H66"/>
    <mergeCell ref="I66:K66"/>
    <mergeCell ref="S66:S67"/>
    <mergeCell ref="T66:T67"/>
    <mergeCell ref="U66:U67"/>
    <mergeCell ref="F67:H67"/>
    <mergeCell ref="I67:K67"/>
    <mergeCell ref="A63:A65"/>
    <mergeCell ref="B63:B65"/>
    <mergeCell ref="C63:C65"/>
    <mergeCell ref="D63:D65"/>
    <mergeCell ref="E63:E65"/>
    <mergeCell ref="F63:H63"/>
    <mergeCell ref="I63:K63"/>
    <mergeCell ref="S63:S65"/>
    <mergeCell ref="T63:T65"/>
    <mergeCell ref="T68:T69"/>
    <mergeCell ref="U68:U69"/>
    <mergeCell ref="F69:H69"/>
    <mergeCell ref="I69:K69"/>
    <mergeCell ref="A70:A71"/>
    <mergeCell ref="B70:B71"/>
    <mergeCell ref="C70:C71"/>
    <mergeCell ref="D70:D71"/>
    <mergeCell ref="E70:E71"/>
    <mergeCell ref="F70:H70"/>
    <mergeCell ref="I70:K70"/>
    <mergeCell ref="R70:R71"/>
    <mergeCell ref="S70:S71"/>
    <mergeCell ref="T70:T71"/>
    <mergeCell ref="U70:U71"/>
    <mergeCell ref="F71:H71"/>
    <mergeCell ref="I71:K71"/>
    <mergeCell ref="A68:A69"/>
    <mergeCell ref="B68:B69"/>
    <mergeCell ref="C68:C69"/>
    <mergeCell ref="D68:D69"/>
    <mergeCell ref="E68:E69"/>
    <mergeCell ref="F68:H68"/>
    <mergeCell ref="I68:K68"/>
    <mergeCell ref="R68:R69"/>
    <mergeCell ref="S68:S69"/>
    <mergeCell ref="T72:T73"/>
    <mergeCell ref="F73:H73"/>
    <mergeCell ref="I73:K73"/>
    <mergeCell ref="A74:A77"/>
    <mergeCell ref="B74:B77"/>
    <mergeCell ref="C74:C77"/>
    <mergeCell ref="D74:D77"/>
    <mergeCell ref="E74:E77"/>
    <mergeCell ref="F74:H74"/>
    <mergeCell ref="I74:K74"/>
    <mergeCell ref="S74:S77"/>
    <mergeCell ref="T74:T77"/>
    <mergeCell ref="A72:A73"/>
    <mergeCell ref="B72:B73"/>
    <mergeCell ref="C72:C73"/>
    <mergeCell ref="D72:D73"/>
    <mergeCell ref="E72:E73"/>
    <mergeCell ref="F72:H72"/>
    <mergeCell ref="I72:K72"/>
    <mergeCell ref="R72:R73"/>
    <mergeCell ref="S72:S73"/>
    <mergeCell ref="U74:U77"/>
    <mergeCell ref="F75:H77"/>
    <mergeCell ref="I75:K77"/>
    <mergeCell ref="R75:R77"/>
    <mergeCell ref="A78:A80"/>
    <mergeCell ref="B78:B80"/>
    <mergeCell ref="C78:C80"/>
    <mergeCell ref="D78:D80"/>
    <mergeCell ref="E78:E80"/>
    <mergeCell ref="F78:H78"/>
    <mergeCell ref="I78:K78"/>
    <mergeCell ref="S78:S80"/>
    <mergeCell ref="T78:T80"/>
    <mergeCell ref="U78:U80"/>
    <mergeCell ref="F79:H80"/>
    <mergeCell ref="I79:K80"/>
    <mergeCell ref="R79:R80"/>
    <mergeCell ref="U81:U82"/>
    <mergeCell ref="F82:H82"/>
    <mergeCell ref="I82:K82"/>
    <mergeCell ref="A83:A84"/>
    <mergeCell ref="B83:B84"/>
    <mergeCell ref="C83:C84"/>
    <mergeCell ref="D83:D84"/>
    <mergeCell ref="E83:E84"/>
    <mergeCell ref="F83:H83"/>
    <mergeCell ref="I83:K83"/>
    <mergeCell ref="S83:S84"/>
    <mergeCell ref="T83:T84"/>
    <mergeCell ref="U83:U84"/>
    <mergeCell ref="F84:H84"/>
    <mergeCell ref="I84:K84"/>
    <mergeCell ref="A81:A82"/>
    <mergeCell ref="B81:B82"/>
    <mergeCell ref="C81:C82"/>
    <mergeCell ref="D81:D82"/>
    <mergeCell ref="E81:E82"/>
    <mergeCell ref="F81:H81"/>
    <mergeCell ref="I81:K81"/>
    <mergeCell ref="S81:S82"/>
    <mergeCell ref="T81:T82"/>
    <mergeCell ref="U85:U87"/>
    <mergeCell ref="F86:H87"/>
    <mergeCell ref="I86:K87"/>
    <mergeCell ref="R86:R87"/>
    <mergeCell ref="A88:A90"/>
    <mergeCell ref="B88:B90"/>
    <mergeCell ref="C88:C90"/>
    <mergeCell ref="D88:D90"/>
    <mergeCell ref="E88:E90"/>
    <mergeCell ref="F88:H88"/>
    <mergeCell ref="I88:K88"/>
    <mergeCell ref="S88:S90"/>
    <mergeCell ref="T88:T90"/>
    <mergeCell ref="U88:U90"/>
    <mergeCell ref="F89:H90"/>
    <mergeCell ref="I89:K90"/>
    <mergeCell ref="R89:R90"/>
    <mergeCell ref="A85:A87"/>
    <mergeCell ref="B85:B87"/>
    <mergeCell ref="C85:C87"/>
    <mergeCell ref="D85:D87"/>
    <mergeCell ref="E85:E87"/>
    <mergeCell ref="F85:H85"/>
    <mergeCell ref="I85:K85"/>
    <mergeCell ref="S85:S87"/>
    <mergeCell ref="T85:T87"/>
    <mergeCell ref="U91:U94"/>
    <mergeCell ref="F92:H94"/>
    <mergeCell ref="I92:K94"/>
    <mergeCell ref="R92:R94"/>
    <mergeCell ref="A95:A97"/>
    <mergeCell ref="B95:B97"/>
    <mergeCell ref="C95:C97"/>
    <mergeCell ref="D95:D97"/>
    <mergeCell ref="E95:E97"/>
    <mergeCell ref="F95:H95"/>
    <mergeCell ref="I95:K95"/>
    <mergeCell ref="S95:S97"/>
    <mergeCell ref="T95:T97"/>
    <mergeCell ref="U95:U97"/>
    <mergeCell ref="F96:H97"/>
    <mergeCell ref="I96:K97"/>
    <mergeCell ref="R96:R97"/>
    <mergeCell ref="A91:A94"/>
    <mergeCell ref="B91:B94"/>
    <mergeCell ref="C91:C94"/>
    <mergeCell ref="D91:D94"/>
    <mergeCell ref="E91:E94"/>
    <mergeCell ref="F91:H91"/>
    <mergeCell ref="I91:K91"/>
    <mergeCell ref="S91:S94"/>
    <mergeCell ref="T91:T94"/>
    <mergeCell ref="U98:U99"/>
    <mergeCell ref="F99:H99"/>
    <mergeCell ref="I99:K99"/>
    <mergeCell ref="A100:A101"/>
    <mergeCell ref="B100:B101"/>
    <mergeCell ref="C100:C101"/>
    <mergeCell ref="D100:D101"/>
    <mergeCell ref="E100:E101"/>
    <mergeCell ref="F100:H100"/>
    <mergeCell ref="I100:K100"/>
    <mergeCell ref="S100:S101"/>
    <mergeCell ref="T100:T101"/>
    <mergeCell ref="U100:U101"/>
    <mergeCell ref="F101:H101"/>
    <mergeCell ref="I101:K101"/>
    <mergeCell ref="A98:A99"/>
    <mergeCell ref="B98:B99"/>
    <mergeCell ref="C98:C99"/>
    <mergeCell ref="D98:D99"/>
    <mergeCell ref="E98:E99"/>
    <mergeCell ref="F98:H98"/>
    <mergeCell ref="I98:K98"/>
    <mergeCell ref="S98:S99"/>
    <mergeCell ref="T98:T99"/>
    <mergeCell ref="S106:S108"/>
    <mergeCell ref="T106:T108"/>
    <mergeCell ref="U102:U103"/>
    <mergeCell ref="F103:H103"/>
    <mergeCell ref="I103:K103"/>
    <mergeCell ref="A104:A105"/>
    <mergeCell ref="B104:B105"/>
    <mergeCell ref="C104:C105"/>
    <mergeCell ref="D104:D105"/>
    <mergeCell ref="E104:E105"/>
    <mergeCell ref="F104:H104"/>
    <mergeCell ref="I104:K104"/>
    <mergeCell ref="S104:S105"/>
    <mergeCell ref="T104:T105"/>
    <mergeCell ref="U104:U105"/>
    <mergeCell ref="F105:H105"/>
    <mergeCell ref="I105:K105"/>
    <mergeCell ref="A102:A103"/>
    <mergeCell ref="B102:B103"/>
    <mergeCell ref="C102:C103"/>
    <mergeCell ref="D102:D103"/>
    <mergeCell ref="E102:E103"/>
    <mergeCell ref="F102:H102"/>
    <mergeCell ref="I102:K102"/>
    <mergeCell ref="S102:S103"/>
    <mergeCell ref="T102:T103"/>
    <mergeCell ref="F111:L111"/>
    <mergeCell ref="A112:A113"/>
    <mergeCell ref="B112:B113"/>
    <mergeCell ref="C112:C113"/>
    <mergeCell ref="D112:D113"/>
    <mergeCell ref="E112:E113"/>
    <mergeCell ref="F112:H112"/>
    <mergeCell ref="I112:K112"/>
    <mergeCell ref="R112:R113"/>
    <mergeCell ref="U106:U108"/>
    <mergeCell ref="F107:H108"/>
    <mergeCell ref="I107:K108"/>
    <mergeCell ref="R107:R108"/>
    <mergeCell ref="A109:A110"/>
    <mergeCell ref="B109:B110"/>
    <mergeCell ref="C109:C110"/>
    <mergeCell ref="D109:D110"/>
    <mergeCell ref="E109:E110"/>
    <mergeCell ref="F109:H109"/>
    <mergeCell ref="I109:K109"/>
    <mergeCell ref="S109:S110"/>
    <mergeCell ref="T109:T110"/>
    <mergeCell ref="U109:U110"/>
    <mergeCell ref="F110:H110"/>
    <mergeCell ref="I110:K110"/>
    <mergeCell ref="A106:A108"/>
    <mergeCell ref="B106:B108"/>
    <mergeCell ref="C106:C108"/>
    <mergeCell ref="D106:D108"/>
    <mergeCell ref="E106:E108"/>
    <mergeCell ref="F106:H106"/>
    <mergeCell ref="I106:K106"/>
    <mergeCell ref="S112:S113"/>
    <mergeCell ref="T112:T113"/>
    <mergeCell ref="U112:U113"/>
    <mergeCell ref="F113:H113"/>
    <mergeCell ref="I113:K113"/>
    <mergeCell ref="A114:A115"/>
    <mergeCell ref="B114:B115"/>
    <mergeCell ref="C114:C115"/>
    <mergeCell ref="D114:D115"/>
    <mergeCell ref="E114:E115"/>
    <mergeCell ref="F114:H114"/>
    <mergeCell ref="I114:K114"/>
    <mergeCell ref="R114:R115"/>
    <mergeCell ref="S114:S115"/>
    <mergeCell ref="T114:T115"/>
    <mergeCell ref="F115:H115"/>
    <mergeCell ref="I115:K115"/>
    <mergeCell ref="U116:U119"/>
    <mergeCell ref="F117:H119"/>
    <mergeCell ref="I117:K119"/>
    <mergeCell ref="R117:R119"/>
    <mergeCell ref="A120:A121"/>
    <mergeCell ref="B120:B121"/>
    <mergeCell ref="C120:C121"/>
    <mergeCell ref="D120:D121"/>
    <mergeCell ref="E120:E121"/>
    <mergeCell ref="F120:H120"/>
    <mergeCell ref="I120:K120"/>
    <mergeCell ref="S120:S121"/>
    <mergeCell ref="T120:T121"/>
    <mergeCell ref="U120:U121"/>
    <mergeCell ref="F121:H121"/>
    <mergeCell ref="I121:K121"/>
    <mergeCell ref="A116:A119"/>
    <mergeCell ref="B116:B119"/>
    <mergeCell ref="C116:C119"/>
    <mergeCell ref="D116:D119"/>
    <mergeCell ref="E116:E119"/>
    <mergeCell ref="F116:H116"/>
    <mergeCell ref="I116:K116"/>
    <mergeCell ref="S116:S119"/>
    <mergeCell ref="T116:T119"/>
    <mergeCell ref="U122:U123"/>
    <mergeCell ref="F123:H123"/>
    <mergeCell ref="I123:K123"/>
    <mergeCell ref="A124:A125"/>
    <mergeCell ref="B124:B125"/>
    <mergeCell ref="C124:C125"/>
    <mergeCell ref="D124:D125"/>
    <mergeCell ref="E124:E125"/>
    <mergeCell ref="F124:H124"/>
    <mergeCell ref="I124:K124"/>
    <mergeCell ref="S124:S125"/>
    <mergeCell ref="T124:T125"/>
    <mergeCell ref="U124:U125"/>
    <mergeCell ref="F125:H125"/>
    <mergeCell ref="I125:K125"/>
    <mergeCell ref="A122:A123"/>
    <mergeCell ref="B122:B123"/>
    <mergeCell ref="C122:C123"/>
    <mergeCell ref="D122:D123"/>
    <mergeCell ref="E122:E123"/>
    <mergeCell ref="F122:H122"/>
    <mergeCell ref="I122:K122"/>
    <mergeCell ref="S122:S123"/>
    <mergeCell ref="T122:T123"/>
    <mergeCell ref="T128:T129"/>
    <mergeCell ref="U128:U129"/>
    <mergeCell ref="F129:H129"/>
    <mergeCell ref="I129:K129"/>
    <mergeCell ref="A130:A131"/>
    <mergeCell ref="B130:B131"/>
    <mergeCell ref="C130:C131"/>
    <mergeCell ref="D130:D131"/>
    <mergeCell ref="E130:E131"/>
    <mergeCell ref="F130:H130"/>
    <mergeCell ref="I130:K130"/>
    <mergeCell ref="R130:R131"/>
    <mergeCell ref="S130:S131"/>
    <mergeCell ref="T130:T131"/>
    <mergeCell ref="U130:U131"/>
    <mergeCell ref="F131:H131"/>
    <mergeCell ref="I131:K131"/>
    <mergeCell ref="A128:A129"/>
    <mergeCell ref="B128:B129"/>
    <mergeCell ref="C128:C129"/>
    <mergeCell ref="D128:D129"/>
    <mergeCell ref="E128:E129"/>
    <mergeCell ref="F128:H128"/>
    <mergeCell ref="I128:K128"/>
    <mergeCell ref="R128:R129"/>
    <mergeCell ref="S128:S129"/>
    <mergeCell ref="T132:T133"/>
    <mergeCell ref="F133:H133"/>
    <mergeCell ref="I133:K133"/>
    <mergeCell ref="A134:A137"/>
    <mergeCell ref="B134:B137"/>
    <mergeCell ref="C134:C137"/>
    <mergeCell ref="D134:D137"/>
    <mergeCell ref="E134:E137"/>
    <mergeCell ref="F134:H134"/>
    <mergeCell ref="I134:K134"/>
    <mergeCell ref="S134:S137"/>
    <mergeCell ref="T134:T137"/>
    <mergeCell ref="A132:A133"/>
    <mergeCell ref="B132:B133"/>
    <mergeCell ref="C132:C133"/>
    <mergeCell ref="D132:D133"/>
    <mergeCell ref="E132:E133"/>
    <mergeCell ref="F132:H132"/>
    <mergeCell ref="I132:K132"/>
    <mergeCell ref="R132:R133"/>
    <mergeCell ref="S132:S133"/>
    <mergeCell ref="U134:U137"/>
    <mergeCell ref="F135:H137"/>
    <mergeCell ref="I135:K137"/>
    <mergeCell ref="R135:R137"/>
    <mergeCell ref="A138:A140"/>
    <mergeCell ref="B138:B140"/>
    <mergeCell ref="C138:C140"/>
    <mergeCell ref="D138:D140"/>
    <mergeCell ref="E138:E140"/>
    <mergeCell ref="F138:H138"/>
    <mergeCell ref="I138:K138"/>
    <mergeCell ref="S138:S140"/>
    <mergeCell ref="T138:T140"/>
    <mergeCell ref="U138:U140"/>
    <mergeCell ref="F139:H140"/>
    <mergeCell ref="I139:K140"/>
    <mergeCell ref="R139:R140"/>
    <mergeCell ref="U141:U142"/>
    <mergeCell ref="F142:H142"/>
    <mergeCell ref="I142:K142"/>
    <mergeCell ref="A143:A144"/>
    <mergeCell ref="B143:B144"/>
    <mergeCell ref="C143:C144"/>
    <mergeCell ref="D143:D144"/>
    <mergeCell ref="E143:E144"/>
    <mergeCell ref="F143:H143"/>
    <mergeCell ref="I143:K143"/>
    <mergeCell ref="S143:S144"/>
    <mergeCell ref="T143:T144"/>
    <mergeCell ref="U143:U144"/>
    <mergeCell ref="F144:H144"/>
    <mergeCell ref="I144:K144"/>
    <mergeCell ref="A141:A142"/>
    <mergeCell ref="B141:B142"/>
    <mergeCell ref="C141:C142"/>
    <mergeCell ref="D141:D142"/>
    <mergeCell ref="E141:E142"/>
    <mergeCell ref="F141:H141"/>
    <mergeCell ref="I141:K141"/>
    <mergeCell ref="S141:S142"/>
    <mergeCell ref="T141:T142"/>
    <mergeCell ref="U145:U147"/>
    <mergeCell ref="F146:H147"/>
    <mergeCell ref="I146:K147"/>
    <mergeCell ref="R146:R147"/>
    <mergeCell ref="A148:A150"/>
    <mergeCell ref="B148:B150"/>
    <mergeCell ref="C148:C150"/>
    <mergeCell ref="D148:D150"/>
    <mergeCell ref="E148:E150"/>
    <mergeCell ref="F148:H148"/>
    <mergeCell ref="I148:K148"/>
    <mergeCell ref="S148:S150"/>
    <mergeCell ref="T148:T150"/>
    <mergeCell ref="U148:U150"/>
    <mergeCell ref="F149:H150"/>
    <mergeCell ref="I149:K150"/>
    <mergeCell ref="R149:R150"/>
    <mergeCell ref="A145:A147"/>
    <mergeCell ref="B145:B147"/>
    <mergeCell ref="C145:C147"/>
    <mergeCell ref="D145:D147"/>
    <mergeCell ref="E145:E147"/>
    <mergeCell ref="F145:H145"/>
    <mergeCell ref="I145:K145"/>
    <mergeCell ref="S145:S147"/>
    <mergeCell ref="T145:T147"/>
    <mergeCell ref="U151:U154"/>
    <mergeCell ref="F152:H154"/>
    <mergeCell ref="I152:K154"/>
    <mergeCell ref="R152:R154"/>
    <mergeCell ref="A155:A157"/>
    <mergeCell ref="B155:B157"/>
    <mergeCell ref="C155:C157"/>
    <mergeCell ref="D155:D157"/>
    <mergeCell ref="E155:E157"/>
    <mergeCell ref="F155:H155"/>
    <mergeCell ref="I155:K155"/>
    <mergeCell ref="S155:S157"/>
    <mergeCell ref="T155:T157"/>
    <mergeCell ref="U155:U157"/>
    <mergeCell ref="F156:H157"/>
    <mergeCell ref="I156:K157"/>
    <mergeCell ref="R156:R157"/>
    <mergeCell ref="A151:A154"/>
    <mergeCell ref="B151:B154"/>
    <mergeCell ref="C151:C154"/>
    <mergeCell ref="D151:D154"/>
    <mergeCell ref="E151:E154"/>
    <mergeCell ref="F151:H151"/>
    <mergeCell ref="I151:K151"/>
    <mergeCell ref="S151:S154"/>
    <mergeCell ref="T151:T154"/>
    <mergeCell ref="U158:U159"/>
    <mergeCell ref="F159:H159"/>
    <mergeCell ref="I159:K159"/>
    <mergeCell ref="A160:A161"/>
    <mergeCell ref="B160:B161"/>
    <mergeCell ref="C160:C161"/>
    <mergeCell ref="D160:D161"/>
    <mergeCell ref="E160:E161"/>
    <mergeCell ref="F160:H160"/>
    <mergeCell ref="I160:K160"/>
    <mergeCell ref="S160:S161"/>
    <mergeCell ref="T160:T161"/>
    <mergeCell ref="U160:U161"/>
    <mergeCell ref="F161:H161"/>
    <mergeCell ref="I161:K161"/>
    <mergeCell ref="A158:A159"/>
    <mergeCell ref="B158:B159"/>
    <mergeCell ref="C158:C159"/>
    <mergeCell ref="D158:D159"/>
    <mergeCell ref="E158:E159"/>
    <mergeCell ref="F158:H158"/>
    <mergeCell ref="I158:K158"/>
    <mergeCell ref="S158:S159"/>
    <mergeCell ref="T158:T159"/>
    <mergeCell ref="U162:U163"/>
    <mergeCell ref="F163:H163"/>
    <mergeCell ref="I163:K163"/>
    <mergeCell ref="A164:A165"/>
    <mergeCell ref="B164:B165"/>
    <mergeCell ref="C164:C165"/>
    <mergeCell ref="D164:D165"/>
    <mergeCell ref="E164:E165"/>
    <mergeCell ref="F164:H164"/>
    <mergeCell ref="I164:K164"/>
    <mergeCell ref="S164:S165"/>
    <mergeCell ref="T164:T165"/>
    <mergeCell ref="U164:U165"/>
    <mergeCell ref="F165:H165"/>
    <mergeCell ref="I165:K165"/>
    <mergeCell ref="A162:A163"/>
    <mergeCell ref="B162:B163"/>
    <mergeCell ref="C162:C163"/>
    <mergeCell ref="D162:D163"/>
    <mergeCell ref="E162:E163"/>
    <mergeCell ref="F162:H162"/>
    <mergeCell ref="I162:K162"/>
    <mergeCell ref="S162:S163"/>
    <mergeCell ref="T162:T163"/>
    <mergeCell ref="S170:S172"/>
    <mergeCell ref="T170:T172"/>
    <mergeCell ref="U166:U167"/>
    <mergeCell ref="F167:H167"/>
    <mergeCell ref="I167:K167"/>
    <mergeCell ref="A168:A169"/>
    <mergeCell ref="B168:B169"/>
    <mergeCell ref="C168:C169"/>
    <mergeCell ref="D168:D169"/>
    <mergeCell ref="E168:E169"/>
    <mergeCell ref="F168:H168"/>
    <mergeCell ref="I168:K168"/>
    <mergeCell ref="S168:S169"/>
    <mergeCell ref="T168:T169"/>
    <mergeCell ref="U168:U169"/>
    <mergeCell ref="F169:H169"/>
    <mergeCell ref="I169:K169"/>
    <mergeCell ref="A166:A167"/>
    <mergeCell ref="B166:B167"/>
    <mergeCell ref="C166:C167"/>
    <mergeCell ref="D166:D167"/>
    <mergeCell ref="E166:E167"/>
    <mergeCell ref="F166:H166"/>
    <mergeCell ref="I166:K166"/>
    <mergeCell ref="S166:S167"/>
    <mergeCell ref="T166:T167"/>
    <mergeCell ref="F175:L175"/>
    <mergeCell ref="A176:A177"/>
    <mergeCell ref="B176:B177"/>
    <mergeCell ref="C176:C177"/>
    <mergeCell ref="D176:D177"/>
    <mergeCell ref="E176:E177"/>
    <mergeCell ref="F176:H176"/>
    <mergeCell ref="I176:K176"/>
    <mergeCell ref="R176:R177"/>
    <mergeCell ref="U170:U172"/>
    <mergeCell ref="F171:H172"/>
    <mergeCell ref="I171:K172"/>
    <mergeCell ref="R171:R172"/>
    <mergeCell ref="A173:A174"/>
    <mergeCell ref="B173:B174"/>
    <mergeCell ref="C173:C174"/>
    <mergeCell ref="D173:D174"/>
    <mergeCell ref="E173:E174"/>
    <mergeCell ref="F173:H173"/>
    <mergeCell ref="I173:K173"/>
    <mergeCell ref="S173:S174"/>
    <mergeCell ref="T173:T174"/>
    <mergeCell ref="U173:U174"/>
    <mergeCell ref="F174:H174"/>
    <mergeCell ref="I174:K174"/>
    <mergeCell ref="A170:A172"/>
    <mergeCell ref="B170:B172"/>
    <mergeCell ref="C170:C172"/>
    <mergeCell ref="D170:D172"/>
    <mergeCell ref="E170:E172"/>
    <mergeCell ref="F170:H170"/>
    <mergeCell ref="I170:K170"/>
    <mergeCell ref="S176:S177"/>
    <mergeCell ref="T176:T177"/>
    <mergeCell ref="U176:U177"/>
    <mergeCell ref="F177:H177"/>
    <mergeCell ref="I177:K177"/>
    <mergeCell ref="A178:A179"/>
    <mergeCell ref="B178:B179"/>
    <mergeCell ref="C178:C179"/>
    <mergeCell ref="D178:D179"/>
    <mergeCell ref="E178:E179"/>
    <mergeCell ref="F178:H178"/>
    <mergeCell ref="I178:K178"/>
    <mergeCell ref="R178:R179"/>
    <mergeCell ref="S178:S179"/>
    <mergeCell ref="T178:T179"/>
    <mergeCell ref="F179:H179"/>
    <mergeCell ref="I179:K179"/>
    <mergeCell ref="T186:T187"/>
    <mergeCell ref="U180:U183"/>
    <mergeCell ref="F181:H183"/>
    <mergeCell ref="I181:K183"/>
    <mergeCell ref="R181:R183"/>
    <mergeCell ref="A184:A185"/>
    <mergeCell ref="B184:B185"/>
    <mergeCell ref="C184:C185"/>
    <mergeCell ref="D184:D185"/>
    <mergeCell ref="E184:E185"/>
    <mergeCell ref="F184:H184"/>
    <mergeCell ref="I184:K184"/>
    <mergeCell ref="S184:S185"/>
    <mergeCell ref="T184:T185"/>
    <mergeCell ref="U184:U185"/>
    <mergeCell ref="F185:H185"/>
    <mergeCell ref="I185:K185"/>
    <mergeCell ref="A180:A183"/>
    <mergeCell ref="B180:B183"/>
    <mergeCell ref="C180:C183"/>
    <mergeCell ref="D180:D183"/>
    <mergeCell ref="E180:E183"/>
    <mergeCell ref="F180:H180"/>
    <mergeCell ref="I180:K180"/>
    <mergeCell ref="S180:S183"/>
    <mergeCell ref="T180:T183"/>
    <mergeCell ref="F190:L190"/>
    <mergeCell ref="A191:A192"/>
    <mergeCell ref="B191:B192"/>
    <mergeCell ref="C191:C192"/>
    <mergeCell ref="D191:D192"/>
    <mergeCell ref="E191:E192"/>
    <mergeCell ref="F191:H191"/>
    <mergeCell ref="I191:K191"/>
    <mergeCell ref="R191:R192"/>
    <mergeCell ref="U186:U187"/>
    <mergeCell ref="F187:H187"/>
    <mergeCell ref="I187:K187"/>
    <mergeCell ref="A188:A189"/>
    <mergeCell ref="B188:B189"/>
    <mergeCell ref="C188:C189"/>
    <mergeCell ref="D188:D189"/>
    <mergeCell ref="E188:E189"/>
    <mergeCell ref="F188:H188"/>
    <mergeCell ref="I188:K188"/>
    <mergeCell ref="S188:S189"/>
    <mergeCell ref="T188:T189"/>
    <mergeCell ref="U188:U189"/>
    <mergeCell ref="F189:H189"/>
    <mergeCell ref="I189:K189"/>
    <mergeCell ref="A186:A187"/>
    <mergeCell ref="B186:B187"/>
    <mergeCell ref="C186:C187"/>
    <mergeCell ref="D186:D187"/>
    <mergeCell ref="E186:E187"/>
    <mergeCell ref="F186:H186"/>
    <mergeCell ref="I186:K186"/>
    <mergeCell ref="S186:S187"/>
    <mergeCell ref="S191:S192"/>
    <mergeCell ref="T191:T192"/>
    <mergeCell ref="U191:U192"/>
    <mergeCell ref="F192:H192"/>
    <mergeCell ref="I192:K192"/>
    <mergeCell ref="A193:A194"/>
    <mergeCell ref="B193:B194"/>
    <mergeCell ref="C193:C194"/>
    <mergeCell ref="D193:D194"/>
    <mergeCell ref="E193:E194"/>
    <mergeCell ref="F193:H193"/>
    <mergeCell ref="I193:K193"/>
    <mergeCell ref="R193:R194"/>
    <mergeCell ref="S193:S194"/>
    <mergeCell ref="T193:T194"/>
    <mergeCell ref="F194:H194"/>
    <mergeCell ref="I194:K194"/>
    <mergeCell ref="T201:T202"/>
    <mergeCell ref="U195:U198"/>
    <mergeCell ref="F196:H198"/>
    <mergeCell ref="I196:K198"/>
    <mergeCell ref="R196:R198"/>
    <mergeCell ref="A199:A200"/>
    <mergeCell ref="B199:B200"/>
    <mergeCell ref="C199:C200"/>
    <mergeCell ref="D199:D200"/>
    <mergeCell ref="E199:E200"/>
    <mergeCell ref="F199:H199"/>
    <mergeCell ref="I199:K199"/>
    <mergeCell ref="S199:S200"/>
    <mergeCell ref="T199:T200"/>
    <mergeCell ref="U199:U200"/>
    <mergeCell ref="F200:H200"/>
    <mergeCell ref="I200:K200"/>
    <mergeCell ref="A195:A198"/>
    <mergeCell ref="B195:B198"/>
    <mergeCell ref="C195:C198"/>
    <mergeCell ref="D195:D198"/>
    <mergeCell ref="E195:E198"/>
    <mergeCell ref="F195:H195"/>
    <mergeCell ref="I195:K195"/>
    <mergeCell ref="S195:S198"/>
    <mergeCell ref="T195:T198"/>
    <mergeCell ref="F205:L205"/>
    <mergeCell ref="A206:A207"/>
    <mergeCell ref="B206:B207"/>
    <mergeCell ref="C206:C207"/>
    <mergeCell ref="D206:D207"/>
    <mergeCell ref="E206:E207"/>
    <mergeCell ref="F206:H206"/>
    <mergeCell ref="I206:K206"/>
    <mergeCell ref="R206:R207"/>
    <mergeCell ref="U201:U202"/>
    <mergeCell ref="F202:H202"/>
    <mergeCell ref="I202:K202"/>
    <mergeCell ref="A203:A204"/>
    <mergeCell ref="B203:B204"/>
    <mergeCell ref="C203:C204"/>
    <mergeCell ref="D203:D204"/>
    <mergeCell ref="E203:E204"/>
    <mergeCell ref="F203:H203"/>
    <mergeCell ref="I203:K203"/>
    <mergeCell ref="S203:S204"/>
    <mergeCell ref="T203:T204"/>
    <mergeCell ref="U203:U204"/>
    <mergeCell ref="F204:H204"/>
    <mergeCell ref="I204:K204"/>
    <mergeCell ref="A201:A202"/>
    <mergeCell ref="B201:B202"/>
    <mergeCell ref="C201:C202"/>
    <mergeCell ref="D201:D202"/>
    <mergeCell ref="E201:E202"/>
    <mergeCell ref="F201:H201"/>
    <mergeCell ref="I201:K201"/>
    <mergeCell ref="S201:S202"/>
    <mergeCell ref="S206:S207"/>
    <mergeCell ref="T206:T207"/>
    <mergeCell ref="U206:U207"/>
    <mergeCell ref="F207:H207"/>
    <mergeCell ref="I207:K207"/>
    <mergeCell ref="A208:A209"/>
    <mergeCell ref="B208:B209"/>
    <mergeCell ref="C208:C209"/>
    <mergeCell ref="D208:D209"/>
    <mergeCell ref="E208:E209"/>
    <mergeCell ref="F208:H208"/>
    <mergeCell ref="I208:K208"/>
    <mergeCell ref="R208:R209"/>
    <mergeCell ref="S208:S209"/>
    <mergeCell ref="T208:T209"/>
    <mergeCell ref="F209:H209"/>
    <mergeCell ref="I209:K209"/>
    <mergeCell ref="U210:U213"/>
    <mergeCell ref="F211:H213"/>
    <mergeCell ref="I211:K213"/>
    <mergeCell ref="R211:R213"/>
    <mergeCell ref="A214:A215"/>
    <mergeCell ref="B214:B215"/>
    <mergeCell ref="C214:C215"/>
    <mergeCell ref="D214:D215"/>
    <mergeCell ref="E214:E215"/>
    <mergeCell ref="F214:H214"/>
    <mergeCell ref="I214:K214"/>
    <mergeCell ref="S214:S215"/>
    <mergeCell ref="T214:T215"/>
    <mergeCell ref="U214:U215"/>
    <mergeCell ref="F215:H215"/>
    <mergeCell ref="I215:K215"/>
    <mergeCell ref="A210:A213"/>
    <mergeCell ref="B210:B213"/>
    <mergeCell ref="C210:C213"/>
    <mergeCell ref="D210:D213"/>
    <mergeCell ref="E210:E213"/>
    <mergeCell ref="F210:H210"/>
    <mergeCell ref="I210:K210"/>
    <mergeCell ref="S210:S213"/>
    <mergeCell ref="T210:T213"/>
    <mergeCell ref="U216:U217"/>
    <mergeCell ref="F217:H217"/>
    <mergeCell ref="I217:K217"/>
    <mergeCell ref="A218:A219"/>
    <mergeCell ref="B218:B219"/>
    <mergeCell ref="C218:C219"/>
    <mergeCell ref="D218:D219"/>
    <mergeCell ref="E218:E219"/>
    <mergeCell ref="F218:H218"/>
    <mergeCell ref="I218:K218"/>
    <mergeCell ref="S218:S219"/>
    <mergeCell ref="T218:T219"/>
    <mergeCell ref="U218:U219"/>
    <mergeCell ref="F219:H219"/>
    <mergeCell ref="I219:K219"/>
    <mergeCell ref="A216:A217"/>
    <mergeCell ref="B216:B217"/>
    <mergeCell ref="C216:C217"/>
    <mergeCell ref="D216:D217"/>
    <mergeCell ref="E216:E217"/>
    <mergeCell ref="F216:H216"/>
    <mergeCell ref="I216:K216"/>
    <mergeCell ref="S216:S217"/>
    <mergeCell ref="T216:T217"/>
    <mergeCell ref="T222:T223"/>
    <mergeCell ref="U222:U223"/>
    <mergeCell ref="F223:H223"/>
    <mergeCell ref="I223:K223"/>
    <mergeCell ref="A224:A225"/>
    <mergeCell ref="B224:B225"/>
    <mergeCell ref="C224:C225"/>
    <mergeCell ref="D224:D225"/>
    <mergeCell ref="E224:E225"/>
    <mergeCell ref="F224:H224"/>
    <mergeCell ref="I224:K224"/>
    <mergeCell ref="R224:R225"/>
    <mergeCell ref="S224:S225"/>
    <mergeCell ref="T224:T225"/>
    <mergeCell ref="U224:U225"/>
    <mergeCell ref="F225:H225"/>
    <mergeCell ref="I225:K225"/>
    <mergeCell ref="A222:A223"/>
    <mergeCell ref="B222:B223"/>
    <mergeCell ref="C222:C223"/>
    <mergeCell ref="D222:D223"/>
    <mergeCell ref="E222:E223"/>
    <mergeCell ref="F222:H222"/>
    <mergeCell ref="I222:K222"/>
    <mergeCell ref="R222:R223"/>
    <mergeCell ref="S222:S223"/>
    <mergeCell ref="T226:T227"/>
    <mergeCell ref="F227:H227"/>
    <mergeCell ref="I227:K227"/>
    <mergeCell ref="A228:A231"/>
    <mergeCell ref="B228:B231"/>
    <mergeCell ref="C228:C231"/>
    <mergeCell ref="D228:D231"/>
    <mergeCell ref="E228:E231"/>
    <mergeCell ref="F228:H228"/>
    <mergeCell ref="I228:K228"/>
    <mergeCell ref="S228:S231"/>
    <mergeCell ref="T228:T231"/>
    <mergeCell ref="A226:A227"/>
    <mergeCell ref="B226:B227"/>
    <mergeCell ref="C226:C227"/>
    <mergeCell ref="D226:D227"/>
    <mergeCell ref="E226:E227"/>
    <mergeCell ref="F226:H226"/>
    <mergeCell ref="I226:K226"/>
    <mergeCell ref="R226:R227"/>
    <mergeCell ref="S226:S227"/>
    <mergeCell ref="U228:U231"/>
    <mergeCell ref="F229:H231"/>
    <mergeCell ref="I229:K231"/>
    <mergeCell ref="R229:R231"/>
    <mergeCell ref="A232:A234"/>
    <mergeCell ref="B232:B234"/>
    <mergeCell ref="C232:C234"/>
    <mergeCell ref="D232:D234"/>
    <mergeCell ref="E232:E234"/>
    <mergeCell ref="F232:H232"/>
    <mergeCell ref="I232:K232"/>
    <mergeCell ref="S232:S234"/>
    <mergeCell ref="T232:T234"/>
    <mergeCell ref="U232:U234"/>
    <mergeCell ref="F233:H234"/>
    <mergeCell ref="I233:K234"/>
    <mergeCell ref="R233:R234"/>
    <mergeCell ref="U235:U236"/>
    <mergeCell ref="F236:H236"/>
    <mergeCell ref="I236:K236"/>
    <mergeCell ref="A237:A238"/>
    <mergeCell ref="B237:B238"/>
    <mergeCell ref="C237:C238"/>
    <mergeCell ref="D237:D238"/>
    <mergeCell ref="E237:E238"/>
    <mergeCell ref="F237:H237"/>
    <mergeCell ref="I237:K237"/>
    <mergeCell ref="S237:S238"/>
    <mergeCell ref="T237:T238"/>
    <mergeCell ref="U237:U238"/>
    <mergeCell ref="F238:H238"/>
    <mergeCell ref="I238:K238"/>
    <mergeCell ref="A235:A236"/>
    <mergeCell ref="B235:B236"/>
    <mergeCell ref="C235:C236"/>
    <mergeCell ref="D235:D236"/>
    <mergeCell ref="E235:E236"/>
    <mergeCell ref="F235:H235"/>
    <mergeCell ref="I235:K235"/>
    <mergeCell ref="S235:S236"/>
    <mergeCell ref="T235:T236"/>
    <mergeCell ref="U239:U241"/>
    <mergeCell ref="F240:H241"/>
    <mergeCell ref="I240:K241"/>
    <mergeCell ref="R240:R241"/>
    <mergeCell ref="A242:A245"/>
    <mergeCell ref="B242:B245"/>
    <mergeCell ref="C242:C245"/>
    <mergeCell ref="D242:D245"/>
    <mergeCell ref="E242:E245"/>
    <mergeCell ref="F242:H242"/>
    <mergeCell ref="I242:K242"/>
    <mergeCell ref="S242:S245"/>
    <mergeCell ref="T242:T245"/>
    <mergeCell ref="U242:U245"/>
    <mergeCell ref="F243:H245"/>
    <mergeCell ref="I243:K245"/>
    <mergeCell ref="R243:R245"/>
    <mergeCell ref="A239:A241"/>
    <mergeCell ref="B239:B241"/>
    <mergeCell ref="C239:C241"/>
    <mergeCell ref="D239:D241"/>
    <mergeCell ref="E239:E241"/>
    <mergeCell ref="F239:H239"/>
    <mergeCell ref="I239:K239"/>
    <mergeCell ref="S239:S241"/>
    <mergeCell ref="T239:T241"/>
    <mergeCell ref="U246:U248"/>
    <mergeCell ref="F247:H248"/>
    <mergeCell ref="I247:K248"/>
    <mergeCell ref="R247:R248"/>
    <mergeCell ref="A249:A250"/>
    <mergeCell ref="B249:B250"/>
    <mergeCell ref="C249:C250"/>
    <mergeCell ref="D249:D250"/>
    <mergeCell ref="E249:E250"/>
    <mergeCell ref="F249:H249"/>
    <mergeCell ref="I249:K249"/>
    <mergeCell ref="S249:S250"/>
    <mergeCell ref="T249:T250"/>
    <mergeCell ref="U249:U250"/>
    <mergeCell ref="F250:H250"/>
    <mergeCell ref="I250:K250"/>
    <mergeCell ref="A246:A248"/>
    <mergeCell ref="B246:B248"/>
    <mergeCell ref="C246:C248"/>
    <mergeCell ref="D246:D248"/>
    <mergeCell ref="E246:E248"/>
    <mergeCell ref="F246:H246"/>
    <mergeCell ref="I246:K246"/>
    <mergeCell ref="S246:S248"/>
    <mergeCell ref="T246:T248"/>
    <mergeCell ref="U251:U252"/>
    <mergeCell ref="F252:H252"/>
    <mergeCell ref="I252:K252"/>
    <mergeCell ref="A253:A254"/>
    <mergeCell ref="B253:B254"/>
    <mergeCell ref="C253:C254"/>
    <mergeCell ref="D253:D254"/>
    <mergeCell ref="E253:E254"/>
    <mergeCell ref="F253:H253"/>
    <mergeCell ref="I253:K253"/>
    <mergeCell ref="S253:S254"/>
    <mergeCell ref="T253:T254"/>
    <mergeCell ref="U253:U254"/>
    <mergeCell ref="F254:H254"/>
    <mergeCell ref="I254:K254"/>
    <mergeCell ref="A251:A252"/>
    <mergeCell ref="B251:B252"/>
    <mergeCell ref="C251:C252"/>
    <mergeCell ref="D251:D252"/>
    <mergeCell ref="E251:E252"/>
    <mergeCell ref="F251:H251"/>
    <mergeCell ref="I251:K251"/>
    <mergeCell ref="S251:S252"/>
    <mergeCell ref="T251:T252"/>
    <mergeCell ref="U255:U256"/>
    <mergeCell ref="F256:H256"/>
    <mergeCell ref="I256:K256"/>
    <mergeCell ref="A257:A258"/>
    <mergeCell ref="B257:B258"/>
    <mergeCell ref="C257:C258"/>
    <mergeCell ref="D257:D258"/>
    <mergeCell ref="E257:E258"/>
    <mergeCell ref="F257:H257"/>
    <mergeCell ref="I257:K257"/>
    <mergeCell ref="S257:S258"/>
    <mergeCell ref="T257:T258"/>
    <mergeCell ref="U257:U258"/>
    <mergeCell ref="F258:H258"/>
    <mergeCell ref="I258:K258"/>
    <mergeCell ref="A255:A256"/>
    <mergeCell ref="B255:B256"/>
    <mergeCell ref="C255:C256"/>
    <mergeCell ref="D255:D256"/>
    <mergeCell ref="E255:E256"/>
    <mergeCell ref="F255:H255"/>
    <mergeCell ref="I255:K255"/>
    <mergeCell ref="S255:S256"/>
    <mergeCell ref="T255:T256"/>
    <mergeCell ref="U259:U260"/>
    <mergeCell ref="F260:H260"/>
    <mergeCell ref="I260:K260"/>
    <mergeCell ref="A261:A263"/>
    <mergeCell ref="B261:B263"/>
    <mergeCell ref="C261:C263"/>
    <mergeCell ref="D261:D263"/>
    <mergeCell ref="E261:E263"/>
    <mergeCell ref="F261:H261"/>
    <mergeCell ref="I261:K261"/>
    <mergeCell ref="S261:S263"/>
    <mergeCell ref="T261:T263"/>
    <mergeCell ref="U261:U263"/>
    <mergeCell ref="F262:H263"/>
    <mergeCell ref="I262:K263"/>
    <mergeCell ref="R262:R263"/>
    <mergeCell ref="A259:A260"/>
    <mergeCell ref="B259:B260"/>
    <mergeCell ref="C259:C260"/>
    <mergeCell ref="D259:D260"/>
    <mergeCell ref="E259:E260"/>
    <mergeCell ref="F259:H259"/>
    <mergeCell ref="I259:K259"/>
    <mergeCell ref="S259:S260"/>
    <mergeCell ref="T259:T260"/>
    <mergeCell ref="U264:U265"/>
    <mergeCell ref="F265:H265"/>
    <mergeCell ref="I265:K265"/>
    <mergeCell ref="F266:L266"/>
    <mergeCell ref="A267:A268"/>
    <mergeCell ref="B267:B268"/>
    <mergeCell ref="C267:C268"/>
    <mergeCell ref="D267:D268"/>
    <mergeCell ref="E267:E268"/>
    <mergeCell ref="F267:H267"/>
    <mergeCell ref="I267:K267"/>
    <mergeCell ref="R267:R268"/>
    <mergeCell ref="S267:S268"/>
    <mergeCell ref="T267:T268"/>
    <mergeCell ref="U267:U268"/>
    <mergeCell ref="F268:H268"/>
    <mergeCell ref="I268:K268"/>
    <mergeCell ref="A264:A265"/>
    <mergeCell ref="B264:B265"/>
    <mergeCell ref="C264:C265"/>
    <mergeCell ref="D264:D265"/>
    <mergeCell ref="E264:E265"/>
    <mergeCell ref="F264:H264"/>
    <mergeCell ref="I264:K264"/>
    <mergeCell ref="S264:S265"/>
    <mergeCell ref="T264:T265"/>
    <mergeCell ref="T269:T270"/>
    <mergeCell ref="F270:H270"/>
    <mergeCell ref="I270:K270"/>
    <mergeCell ref="A271:A274"/>
    <mergeCell ref="B271:B274"/>
    <mergeCell ref="C271:C274"/>
    <mergeCell ref="D271:D274"/>
    <mergeCell ref="E271:E274"/>
    <mergeCell ref="F271:H271"/>
    <mergeCell ref="I271:K271"/>
    <mergeCell ref="S271:S274"/>
    <mergeCell ref="T271:T274"/>
    <mergeCell ref="A269:A270"/>
    <mergeCell ref="B269:B270"/>
    <mergeCell ref="C269:C270"/>
    <mergeCell ref="D269:D270"/>
    <mergeCell ref="E269:E270"/>
    <mergeCell ref="F269:H269"/>
    <mergeCell ref="I269:K269"/>
    <mergeCell ref="R269:R270"/>
    <mergeCell ref="S269:S270"/>
    <mergeCell ref="T277:T278"/>
    <mergeCell ref="U271:U274"/>
    <mergeCell ref="F272:H274"/>
    <mergeCell ref="I272:K274"/>
    <mergeCell ref="R272:R274"/>
    <mergeCell ref="A275:A276"/>
    <mergeCell ref="B275:B276"/>
    <mergeCell ref="C275:C276"/>
    <mergeCell ref="D275:D276"/>
    <mergeCell ref="E275:E276"/>
    <mergeCell ref="F275:H275"/>
    <mergeCell ref="I275:K275"/>
    <mergeCell ref="S275:S276"/>
    <mergeCell ref="T275:T276"/>
    <mergeCell ref="U275:U276"/>
    <mergeCell ref="F276:H276"/>
    <mergeCell ref="I276:K276"/>
    <mergeCell ref="F281:L281"/>
    <mergeCell ref="A282:A283"/>
    <mergeCell ref="B282:B283"/>
    <mergeCell ref="C282:C283"/>
    <mergeCell ref="D282:D283"/>
    <mergeCell ref="E282:E283"/>
    <mergeCell ref="F282:H282"/>
    <mergeCell ref="I282:K282"/>
    <mergeCell ref="R282:R283"/>
    <mergeCell ref="U277:U278"/>
    <mergeCell ref="F278:H278"/>
    <mergeCell ref="I278:K278"/>
    <mergeCell ref="A279:A280"/>
    <mergeCell ref="B279:B280"/>
    <mergeCell ref="C279:C280"/>
    <mergeCell ref="D279:D280"/>
    <mergeCell ref="E279:E280"/>
    <mergeCell ref="F279:H279"/>
    <mergeCell ref="I279:K279"/>
    <mergeCell ref="S279:S280"/>
    <mergeCell ref="T279:T280"/>
    <mergeCell ref="U279:U280"/>
    <mergeCell ref="F280:H280"/>
    <mergeCell ref="I280:K280"/>
    <mergeCell ref="A277:A278"/>
    <mergeCell ref="B277:B278"/>
    <mergeCell ref="C277:C278"/>
    <mergeCell ref="D277:D278"/>
    <mergeCell ref="E277:E278"/>
    <mergeCell ref="F277:H277"/>
    <mergeCell ref="I277:K277"/>
    <mergeCell ref="S277:S278"/>
    <mergeCell ref="S282:S283"/>
    <mergeCell ref="T282:T283"/>
    <mergeCell ref="U282:U283"/>
    <mergeCell ref="F283:H283"/>
    <mergeCell ref="I283:K283"/>
    <mergeCell ref="A284:A285"/>
    <mergeCell ref="B284:B285"/>
    <mergeCell ref="C284:C285"/>
    <mergeCell ref="D284:D285"/>
    <mergeCell ref="E284:E285"/>
    <mergeCell ref="F284:H284"/>
    <mergeCell ref="I284:K284"/>
    <mergeCell ref="R284:R285"/>
    <mergeCell ref="S284:S285"/>
    <mergeCell ref="T284:T285"/>
    <mergeCell ref="F285:H285"/>
    <mergeCell ref="I285:K285"/>
    <mergeCell ref="U286:U289"/>
    <mergeCell ref="F287:H289"/>
    <mergeCell ref="I287:K289"/>
    <mergeCell ref="R287:R289"/>
    <mergeCell ref="A290:A291"/>
    <mergeCell ref="B290:B291"/>
    <mergeCell ref="C290:C291"/>
    <mergeCell ref="D290:D291"/>
    <mergeCell ref="E290:E291"/>
    <mergeCell ref="F290:H290"/>
    <mergeCell ref="I290:K290"/>
    <mergeCell ref="S290:S291"/>
    <mergeCell ref="T290:T291"/>
    <mergeCell ref="U290:U291"/>
    <mergeCell ref="F291:H291"/>
    <mergeCell ref="I291:K291"/>
    <mergeCell ref="A286:A289"/>
    <mergeCell ref="B286:B289"/>
    <mergeCell ref="C286:C289"/>
    <mergeCell ref="D286:D289"/>
    <mergeCell ref="E286:E289"/>
    <mergeCell ref="F286:H286"/>
    <mergeCell ref="I286:K286"/>
    <mergeCell ref="S286:S289"/>
    <mergeCell ref="T286:T289"/>
    <mergeCell ref="U292:U293"/>
    <mergeCell ref="F293:H293"/>
    <mergeCell ref="I293:K293"/>
    <mergeCell ref="A294:A295"/>
    <mergeCell ref="B294:B295"/>
    <mergeCell ref="C294:C295"/>
    <mergeCell ref="D294:D295"/>
    <mergeCell ref="E294:E295"/>
    <mergeCell ref="F294:H294"/>
    <mergeCell ref="I294:K294"/>
    <mergeCell ref="S294:S295"/>
    <mergeCell ref="T294:T295"/>
    <mergeCell ref="U294:U295"/>
    <mergeCell ref="F295:H295"/>
    <mergeCell ref="I295:K295"/>
    <mergeCell ref="A292:A293"/>
    <mergeCell ref="B292:B293"/>
    <mergeCell ref="C292:C293"/>
    <mergeCell ref="D292:D293"/>
    <mergeCell ref="E292:E293"/>
    <mergeCell ref="F292:H292"/>
    <mergeCell ref="I292:K292"/>
    <mergeCell ref="S292:S293"/>
    <mergeCell ref="T292:T293"/>
  </mergeCells>
  <printOptions horizontalCentered="1"/>
  <pageMargins left="0" right="0" top="0.98425196850393704" bottom="0" header="0.31496062992125984" footer="0.31496062992125984"/>
  <pageSetup paperSize="9" scale="96" orientation="portrait" r:id="rId1"/>
  <rowBreaks count="1" manualBreakCount="1">
    <brk id="11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Bac  </vt:lpstr>
      <vt:lpstr>ԱՄՓՈՓ  </vt:lpstr>
      <vt:lpstr>1</vt:lpstr>
      <vt:lpstr>ծավալ</vt:lpstr>
      <vt:lpstr>ծավալ рус.</vt:lpstr>
      <vt:lpstr>'1'!Заголовки_для_печати</vt:lpstr>
      <vt:lpstr>'ԱՄՓՈՓ  '!Заголовки_для_печати</vt:lpstr>
      <vt:lpstr>ծավալ!Заголовки_для_печати</vt:lpstr>
      <vt:lpstr>'ծավալ рус.'!Заголовки_для_печати</vt:lpstr>
      <vt:lpstr>'1'!Область_печати</vt:lpstr>
      <vt:lpstr>'Bac  '!Область_печати</vt:lpstr>
      <vt:lpstr>'ԱՄՓՈՓ  '!Область_печати</vt:lpstr>
      <vt:lpstr>ծավալ!Область_печати</vt:lpstr>
      <vt:lpstr>'ծավալ рус.'!Область_печати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2024-12-16T07:36:13Z</dcterms:modified>
</cp:coreProperties>
</file>