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2225" activeTab="3"/>
  </bookViews>
  <sheets>
    <sheet name="Bac  " sheetId="15" r:id="rId1"/>
    <sheet name="ԱՄՓՈՓ  " sheetId="12" r:id="rId2"/>
    <sheet name="1" sheetId="6" r:id="rId3"/>
    <sheet name="ծավալ" sheetId="33" r:id="rId4"/>
    <sheet name="ծավալ рус." sheetId="34" state="hidden" r:id="rId5"/>
  </sheets>
  <externalReferences>
    <externalReference r:id="rId6"/>
  </externalReferences>
  <definedNames>
    <definedName name="AAA" localSheetId="0">#REF!</definedName>
    <definedName name="AAA" localSheetId="1">#REF!</definedName>
    <definedName name="AAA" localSheetId="3">#REF!</definedName>
    <definedName name="AAA" localSheetId="4">#REF!</definedName>
    <definedName name="AAA">#REF!</definedName>
    <definedName name="dfjgjkbkl5653" localSheetId="4">#REF!</definedName>
    <definedName name="dfjgjkbkl5653">#REF!</definedName>
    <definedName name="dfkgherhiopbgtro" localSheetId="4">#REF!</definedName>
    <definedName name="dfkgherhiopbgtro">#REF!</definedName>
    <definedName name="f0" localSheetId="0">#REF!</definedName>
    <definedName name="f0" localSheetId="1">#REF!</definedName>
    <definedName name="f0" localSheetId="3">#REF!</definedName>
    <definedName name="f0" localSheetId="4">#REF!</definedName>
    <definedName name="f0">#REF!</definedName>
    <definedName name="f00" localSheetId="0">#REF!</definedName>
    <definedName name="f00" localSheetId="1">#REF!</definedName>
    <definedName name="f00" localSheetId="3">#REF!</definedName>
    <definedName name="f00" localSheetId="4">#REF!</definedName>
    <definedName name="f00">#REF!</definedName>
    <definedName name="jhfjuyf6654646" localSheetId="4">#REF!</definedName>
    <definedName name="jhfjuyf6654646">#REF!</definedName>
    <definedName name="jhsdhfj136" localSheetId="4">#REF!</definedName>
    <definedName name="jhsdhfj136">#REF!</definedName>
    <definedName name="k" localSheetId="4">#REF!</definedName>
    <definedName name="k">#REF!</definedName>
    <definedName name="khkjkklk445" localSheetId="4">#REF!</definedName>
    <definedName name="khkjkklk445">#REF!</definedName>
    <definedName name="kkgfdikg122" localSheetId="4">#REF!</definedName>
    <definedName name="kkgfdikg122">#REF!</definedName>
    <definedName name="LN" localSheetId="4">#REF!</definedName>
    <definedName name="LN">#REF!</definedName>
    <definedName name="LNfibviobroe" localSheetId="4">#REF!</definedName>
    <definedName name="LNfibviobroe">#REF!</definedName>
    <definedName name="mexan" localSheetId="0">#REF!</definedName>
    <definedName name="mexan" localSheetId="1">#REF!</definedName>
    <definedName name="mexan" localSheetId="3">#REF!</definedName>
    <definedName name="mexan" localSheetId="4">#REF!</definedName>
    <definedName name="mexan">#REF!</definedName>
    <definedName name="mmm" localSheetId="0">#REF!</definedName>
    <definedName name="mmm" localSheetId="1">#REF!</definedName>
    <definedName name="mmm" localSheetId="3">#REF!</definedName>
    <definedName name="mmm" localSheetId="4">#REF!</definedName>
    <definedName name="mmm">#REF!</definedName>
    <definedName name="nyu" localSheetId="4">#REF!</definedName>
    <definedName name="nyu">#REF!</definedName>
    <definedName name="sjbcjkcdlajskl" localSheetId="4">#REF!</definedName>
    <definedName name="sjbcjkcdlajskl">#REF!</definedName>
    <definedName name="sjhiglkkf2346" localSheetId="4">#REF!</definedName>
    <definedName name="sjhiglkkf2346">#REF!</definedName>
    <definedName name="sssss" localSheetId="4">#REF!</definedName>
    <definedName name="sssss">#REF!</definedName>
    <definedName name="wj.vvsrtjetykuk" localSheetId="4">#REF!</definedName>
    <definedName name="wj.vvsrtjetykuk">#REF!</definedName>
    <definedName name="ааа" localSheetId="0">#REF!</definedName>
    <definedName name="ааа" localSheetId="1">#REF!</definedName>
    <definedName name="ааа" localSheetId="3">#REF!</definedName>
    <definedName name="ааа" localSheetId="4">#REF!</definedName>
    <definedName name="ааа">#REF!</definedName>
    <definedName name="АЕР" localSheetId="0">#REF!</definedName>
    <definedName name="АЕР" localSheetId="1">#REF!</definedName>
    <definedName name="АЕР" localSheetId="3">#REF!</definedName>
    <definedName name="АЕР" localSheetId="4">#REF!</definedName>
    <definedName name="АЕР">#REF!</definedName>
    <definedName name="гфжжжж" localSheetId="4">#REF!</definedName>
    <definedName name="гфжжжж">#REF!</definedName>
    <definedName name="дкыуыук" localSheetId="4">#REF!</definedName>
    <definedName name="дкыуыук">#REF!</definedName>
    <definedName name="дфдсн" localSheetId="4">#REF!</definedName>
    <definedName name="дфдсн">#REF!</definedName>
    <definedName name="_xlnm.Print_Titles" localSheetId="2">'1'!$20:$20</definedName>
    <definedName name="_xlnm.Print_Titles" localSheetId="1">'ԱՄՓՈՓ  '!$14:$16</definedName>
    <definedName name="_xlnm.Print_Titles" localSheetId="3">ծավալ!$20:$20</definedName>
    <definedName name="_xlnm.Print_Titles" localSheetId="4">'ծավալ рус.'!$20:$20</definedName>
    <definedName name="кжгхоырыр45" localSheetId="4">#REF!</definedName>
    <definedName name="кжгхоырыр45">#REF!</definedName>
    <definedName name="лвхйиоеррхбгио" localSheetId="4">#REF!</definedName>
    <definedName name="лвхйиоеррхбгио">#REF!</definedName>
    <definedName name="лн1" localSheetId="4">#REF!</definedName>
    <definedName name="лн1">#REF!</definedName>
    <definedName name="лн2" localSheetId="4">#REF!</definedName>
    <definedName name="лн2">#REF!</definedName>
    <definedName name="мм" localSheetId="0">#REF!</definedName>
    <definedName name="мм" localSheetId="1">#REF!</definedName>
    <definedName name="мм" localSheetId="3">#REF!</definedName>
    <definedName name="мм" localSheetId="4">#REF!</definedName>
    <definedName name="мм">#REF!</definedName>
    <definedName name="ммм" localSheetId="0">#REF!</definedName>
    <definedName name="ммм" localSheetId="1">#REF!</definedName>
    <definedName name="ммм" localSheetId="3">#REF!</definedName>
    <definedName name="ммм" localSheetId="4">#REF!</definedName>
    <definedName name="ммм">#REF!</definedName>
    <definedName name="_xlnm.Print_Area" localSheetId="2">'1'!$A$1:$U$138</definedName>
    <definedName name="_xlnm.Print_Area" localSheetId="0">'Bac  '!$A$1:$L$29</definedName>
    <definedName name="_xlnm.Print_Area" localSheetId="1">'ԱՄՓՈՓ  '!$A$1:$H$73</definedName>
    <definedName name="_xlnm.Print_Area" localSheetId="3">ծավալ!$A$1:$X$137</definedName>
    <definedName name="_xlnm.Print_Area" localSheetId="4">'ծավալ рус.'!$A$1:$X$305</definedName>
    <definedName name="склжхилсхснхе0111" localSheetId="4">#REF!</definedName>
    <definedName name="склжхилсхснхе0111">#REF!</definedName>
    <definedName name="сссс" localSheetId="4">#REF!</definedName>
    <definedName name="сссс">#REF!</definedName>
    <definedName name="тит76и67о7" localSheetId="4">#REF!</definedName>
    <definedName name="тит76и67о7">#REF!</definedName>
    <definedName name="флкбфл1225д" localSheetId="4">#REF!</definedName>
    <definedName name="флкбфл1225д">#REF!</definedName>
    <definedName name="фмнмцхйфйгк1" localSheetId="4">#REF!</definedName>
    <definedName name="фмнмцхйфйгк1">#REF!</definedName>
    <definedName name="хйфйдкфклгл" localSheetId="4">#REF!</definedName>
    <definedName name="хйфйдкфклгл">#REF!</definedName>
  </definedNames>
  <calcPr calcId="162913"/>
</workbook>
</file>

<file path=xl/calcChain.xml><?xml version="1.0" encoding="utf-8"?>
<calcChain xmlns="http://schemas.openxmlformats.org/spreadsheetml/2006/main">
  <c r="I25" i="33" l="1"/>
  <c r="I26" i="33" s="1"/>
  <c r="F25" i="33"/>
  <c r="F26" i="33" s="1"/>
  <c r="A25" i="33"/>
  <c r="I25" i="6"/>
  <c r="I26" i="6" s="1"/>
  <c r="F25" i="6"/>
  <c r="F26" i="6" s="1"/>
  <c r="R25" i="6" s="1"/>
  <c r="S25" i="6" s="1"/>
  <c r="T25" i="6" s="1"/>
  <c r="A25" i="6"/>
  <c r="I57" i="33" l="1"/>
  <c r="F57" i="33"/>
  <c r="V23" i="33" l="1"/>
  <c r="W23" i="33" s="1"/>
  <c r="V24" i="33"/>
  <c r="W24" i="33" s="1"/>
  <c r="I126" i="33"/>
  <c r="E126" i="33"/>
  <c r="O128" i="33" s="1"/>
  <c r="P125" i="33"/>
  <c r="N125" i="33"/>
  <c r="O125" i="33" s="1"/>
  <c r="P124" i="33"/>
  <c r="O124" i="33"/>
  <c r="I123" i="33"/>
  <c r="F123" i="33"/>
  <c r="E120" i="33"/>
  <c r="O122" i="33" s="1"/>
  <c r="E115" i="33"/>
  <c r="O117" i="33" s="1"/>
  <c r="O114" i="33"/>
  <c r="R113" i="33"/>
  <c r="A113" i="33"/>
  <c r="A115" i="33" s="1"/>
  <c r="A120" i="33" s="1"/>
  <c r="A123" i="33" s="1"/>
  <c r="A126" i="33" s="1"/>
  <c r="O112" i="33"/>
  <c r="O111" i="33"/>
  <c r="O110" i="33"/>
  <c r="O107" i="33"/>
  <c r="O105" i="33"/>
  <c r="I104" i="33"/>
  <c r="F104" i="33"/>
  <c r="O103" i="33"/>
  <c r="P101" i="33"/>
  <c r="O101" i="33"/>
  <c r="P99" i="33"/>
  <c r="O99" i="33"/>
  <c r="I98" i="33"/>
  <c r="O97" i="33"/>
  <c r="P95" i="33"/>
  <c r="O95" i="33"/>
  <c r="I94" i="33"/>
  <c r="F94" i="33"/>
  <c r="P93" i="33"/>
  <c r="O93" i="33"/>
  <c r="I92" i="33"/>
  <c r="F92" i="33"/>
  <c r="O91" i="33"/>
  <c r="I90" i="33"/>
  <c r="F90" i="33"/>
  <c r="O89" i="33"/>
  <c r="F88" i="33"/>
  <c r="O87" i="33"/>
  <c r="F86" i="33"/>
  <c r="P85" i="33"/>
  <c r="O85" i="33"/>
  <c r="I84" i="33"/>
  <c r="F84" i="33"/>
  <c r="O83" i="33"/>
  <c r="O81" i="33"/>
  <c r="I80" i="33"/>
  <c r="F80" i="33"/>
  <c r="O79" i="33"/>
  <c r="O77" i="33"/>
  <c r="I76" i="33"/>
  <c r="F76" i="33"/>
  <c r="O75" i="33"/>
  <c r="I74" i="33"/>
  <c r="F74" i="33"/>
  <c r="O73" i="33"/>
  <c r="N71" i="33"/>
  <c r="O70" i="33"/>
  <c r="O69" i="33"/>
  <c r="P67" i="33"/>
  <c r="O67" i="33"/>
  <c r="P65" i="33"/>
  <c r="O65" i="33"/>
  <c r="R63" i="33"/>
  <c r="U62" i="33" s="1"/>
  <c r="I62" i="33"/>
  <c r="F62" i="33"/>
  <c r="P60" i="33"/>
  <c r="E58" i="33"/>
  <c r="O59" i="33" s="1"/>
  <c r="O57" i="33"/>
  <c r="I54" i="33"/>
  <c r="F54" i="33"/>
  <c r="E51" i="33"/>
  <c r="U49" i="33"/>
  <c r="I49" i="33"/>
  <c r="F49" i="33"/>
  <c r="I47" i="33"/>
  <c r="I45" i="33"/>
  <c r="E45" i="33"/>
  <c r="I43" i="33"/>
  <c r="O42" i="33"/>
  <c r="I39" i="33"/>
  <c r="F39" i="33"/>
  <c r="I37" i="33"/>
  <c r="F37" i="33"/>
  <c r="F35" i="33"/>
  <c r="F33" i="33"/>
  <c r="I31" i="33"/>
  <c r="F31" i="33"/>
  <c r="E31" i="33"/>
  <c r="I23" i="33"/>
  <c r="F23" i="33"/>
  <c r="A23" i="33"/>
  <c r="A27" i="33" s="1"/>
  <c r="A29" i="33" s="1"/>
  <c r="A31" i="33" s="1"/>
  <c r="A33" i="33" s="1"/>
  <c r="A35" i="33" s="1"/>
  <c r="A37" i="33" s="1"/>
  <c r="A39" i="33" s="1"/>
  <c r="A41" i="33" s="1"/>
  <c r="A43" i="33" s="1"/>
  <c r="A45" i="33" s="1"/>
  <c r="A47" i="33" s="1"/>
  <c r="A49" i="33" s="1"/>
  <c r="A51" i="33" s="1"/>
  <c r="A54" i="33" s="1"/>
  <c r="A56" i="33" s="1"/>
  <c r="A58" i="33" s="1"/>
  <c r="A62" i="33" s="1"/>
  <c r="A64" i="33" s="1"/>
  <c r="A66" i="33" s="1"/>
  <c r="A68" i="33" s="1"/>
  <c r="A72" i="33" s="1"/>
  <c r="A74" i="33" s="1"/>
  <c r="O127" i="33" l="1"/>
  <c r="O118" i="33"/>
  <c r="O116" i="33"/>
  <c r="O121" i="33"/>
  <c r="A76" i="33"/>
  <c r="A78" i="33"/>
  <c r="O71" i="33"/>
  <c r="O61" i="33"/>
  <c r="O60" i="33"/>
  <c r="O119" i="33"/>
  <c r="E126" i="6"/>
  <c r="E120" i="6"/>
  <c r="O121" i="6" s="1"/>
  <c r="E115" i="6"/>
  <c r="O116" i="6" s="1"/>
  <c r="P125" i="6"/>
  <c r="P124" i="6"/>
  <c r="Q124" i="6" s="1"/>
  <c r="Q128" i="6"/>
  <c r="Q127" i="6"/>
  <c r="F127" i="6"/>
  <c r="I126" i="6"/>
  <c r="I127" i="6" s="1"/>
  <c r="N125" i="6"/>
  <c r="I123" i="6"/>
  <c r="I124" i="6" s="1"/>
  <c r="F123" i="6"/>
  <c r="F124" i="6" s="1"/>
  <c r="Q122" i="6"/>
  <c r="Q121" i="6"/>
  <c r="I121" i="6"/>
  <c r="F121" i="6"/>
  <c r="R120" i="6" s="1"/>
  <c r="Q119" i="6"/>
  <c r="O119" i="6"/>
  <c r="Q118" i="6"/>
  <c r="Q117" i="6"/>
  <c r="Q116" i="6"/>
  <c r="I116" i="6"/>
  <c r="F116" i="6"/>
  <c r="R115" i="6" s="1"/>
  <c r="Q114" i="6"/>
  <c r="R114" i="6" s="1"/>
  <c r="U113" i="6" s="1"/>
  <c r="O114" i="6"/>
  <c r="R113" i="6"/>
  <c r="A113" i="6"/>
  <c r="A115" i="6" s="1"/>
  <c r="A120" i="6" s="1"/>
  <c r="A123" i="6" s="1"/>
  <c r="A126" i="6" s="1"/>
  <c r="Q112" i="6"/>
  <c r="O112" i="6"/>
  <c r="Q111" i="6"/>
  <c r="O111" i="6"/>
  <c r="Q110" i="6"/>
  <c r="O110" i="6"/>
  <c r="I110" i="6"/>
  <c r="F110" i="6"/>
  <c r="X105" i="6"/>
  <c r="Q107" i="6"/>
  <c r="R107" i="6" s="1"/>
  <c r="U106" i="6" s="1"/>
  <c r="O107" i="6"/>
  <c r="I107" i="6"/>
  <c r="F107" i="6"/>
  <c r="Q105" i="6"/>
  <c r="R105" i="6" s="1"/>
  <c r="U104" i="6" s="1"/>
  <c r="O105" i="6"/>
  <c r="I104" i="6"/>
  <c r="I105" i="6" s="1"/>
  <c r="F104" i="6"/>
  <c r="F105" i="6" s="1"/>
  <c r="Q103" i="6"/>
  <c r="R103" i="6" s="1"/>
  <c r="U102" i="6" s="1"/>
  <c r="O103" i="6"/>
  <c r="I103" i="6"/>
  <c r="F103" i="6"/>
  <c r="P101" i="6"/>
  <c r="Q101" i="6" s="1"/>
  <c r="R101" i="6" s="1"/>
  <c r="U100" i="6" s="1"/>
  <c r="F97" i="6"/>
  <c r="I97" i="6"/>
  <c r="O97" i="6"/>
  <c r="Q97" i="6"/>
  <c r="R97" i="6" s="1"/>
  <c r="O101" i="6"/>
  <c r="I101" i="6"/>
  <c r="F101" i="6"/>
  <c r="P99" i="6"/>
  <c r="Q99" i="6" s="1"/>
  <c r="R99" i="6" s="1"/>
  <c r="U98" i="6" s="1"/>
  <c r="O99" i="6"/>
  <c r="F99" i="6"/>
  <c r="I98" i="6"/>
  <c r="I99" i="6" s="1"/>
  <c r="P95" i="6"/>
  <c r="Q95" i="6" s="1"/>
  <c r="R95" i="6" s="1"/>
  <c r="U94" i="6" s="1"/>
  <c r="O95" i="6"/>
  <c r="I94" i="6"/>
  <c r="I95" i="6" s="1"/>
  <c r="F94" i="6"/>
  <c r="F95" i="6" s="1"/>
  <c r="P93" i="6"/>
  <c r="Q93" i="6" s="1"/>
  <c r="R93" i="6" s="1"/>
  <c r="U92" i="6" s="1"/>
  <c r="O93" i="6"/>
  <c r="I92" i="6"/>
  <c r="I93" i="6" s="1"/>
  <c r="F92" i="6"/>
  <c r="F93" i="6" s="1"/>
  <c r="A80" i="33" l="1"/>
  <c r="A82" i="33"/>
  <c r="A84" i="33" s="1"/>
  <c r="A86" i="33" s="1"/>
  <c r="A88" i="33" s="1"/>
  <c r="A90" i="33" s="1"/>
  <c r="A92" i="33" s="1"/>
  <c r="A94" i="33" s="1"/>
  <c r="A96" i="33" s="1"/>
  <c r="A98" i="33" s="1"/>
  <c r="A100" i="33" s="1"/>
  <c r="A102" i="33" s="1"/>
  <c r="A104" i="33" s="1"/>
  <c r="A106" i="33" s="1"/>
  <c r="R109" i="6"/>
  <c r="S109" i="6" s="1"/>
  <c r="T109" i="6" s="1"/>
  <c r="R127" i="6"/>
  <c r="U126" i="6" s="1"/>
  <c r="O118" i="6"/>
  <c r="R123" i="6"/>
  <c r="R126" i="6"/>
  <c r="O124" i="6"/>
  <c r="O122" i="6"/>
  <c r="R121" i="6"/>
  <c r="U120" i="6" s="1"/>
  <c r="S120" i="6"/>
  <c r="T120" i="6" s="1"/>
  <c r="R116" i="6"/>
  <c r="U115" i="6" s="1"/>
  <c r="S113" i="6"/>
  <c r="T113" i="6" s="1"/>
  <c r="R110" i="6"/>
  <c r="U109" i="6" s="1"/>
  <c r="Q125" i="6"/>
  <c r="R124" i="6"/>
  <c r="U123" i="6" s="1"/>
  <c r="O127" i="6"/>
  <c r="O128" i="6"/>
  <c r="O125" i="6"/>
  <c r="O117" i="6"/>
  <c r="R102" i="6"/>
  <c r="S102" i="6" s="1"/>
  <c r="T102" i="6" s="1"/>
  <c r="R106" i="6"/>
  <c r="S106" i="6" s="1"/>
  <c r="T106" i="6" s="1"/>
  <c r="R96" i="6"/>
  <c r="S96" i="6" s="1"/>
  <c r="T96" i="6" s="1"/>
  <c r="R100" i="6"/>
  <c r="S100" i="6" s="1"/>
  <c r="T100" i="6" s="1"/>
  <c r="R104" i="6"/>
  <c r="S104" i="6" s="1"/>
  <c r="T104" i="6" s="1"/>
  <c r="U96" i="6"/>
  <c r="R92" i="6"/>
  <c r="S92" i="6" s="1"/>
  <c r="T92" i="6" s="1"/>
  <c r="R98" i="6"/>
  <c r="S98" i="6" s="1"/>
  <c r="T98" i="6" s="1"/>
  <c r="R94" i="6"/>
  <c r="S94" i="6" s="1"/>
  <c r="T94" i="6" s="1"/>
  <c r="S126" i="6" l="1"/>
  <c r="T126" i="6" s="1"/>
  <c r="S115" i="6"/>
  <c r="T115" i="6" s="1"/>
  <c r="S123" i="6"/>
  <c r="T123" i="6" s="1"/>
  <c r="Q91" i="6" l="1"/>
  <c r="R91" i="6" s="1"/>
  <c r="U90" i="6" s="1"/>
  <c r="O91" i="6"/>
  <c r="I90" i="6"/>
  <c r="I91" i="6" s="1"/>
  <c r="F90" i="6"/>
  <c r="F91" i="6" s="1"/>
  <c r="R90" i="6" l="1"/>
  <c r="S90" i="6" s="1"/>
  <c r="T90" i="6" s="1"/>
  <c r="Q89" i="6" l="1"/>
  <c r="R89" i="6" s="1"/>
  <c r="U88" i="6" s="1"/>
  <c r="O89" i="6"/>
  <c r="I89" i="6"/>
  <c r="F88" i="6"/>
  <c r="F89" i="6" s="1"/>
  <c r="Q87" i="6"/>
  <c r="R87" i="6" s="1"/>
  <c r="U86" i="6" s="1"/>
  <c r="O87" i="6"/>
  <c r="I87" i="6"/>
  <c r="F86" i="6"/>
  <c r="F87" i="6" s="1"/>
  <c r="P85" i="6"/>
  <c r="Q85" i="6" s="1"/>
  <c r="R85" i="6" s="1"/>
  <c r="U84" i="6" s="1"/>
  <c r="O85" i="6"/>
  <c r="R88" i="6" l="1"/>
  <c r="S88" i="6" s="1"/>
  <c r="T88" i="6" s="1"/>
  <c r="R86" i="6"/>
  <c r="S86" i="6" s="1"/>
  <c r="T86" i="6" s="1"/>
  <c r="I84" i="6" l="1"/>
  <c r="I85" i="6" s="1"/>
  <c r="F84" i="6"/>
  <c r="F85" i="6" s="1"/>
  <c r="X83" i="6"/>
  <c r="Q83" i="6"/>
  <c r="R83" i="6" s="1"/>
  <c r="U82" i="6" s="1"/>
  <c r="O83" i="6"/>
  <c r="I83" i="6"/>
  <c r="F83" i="6"/>
  <c r="R82" i="6" l="1"/>
  <c r="R84" i="6"/>
  <c r="S84" i="6" s="1"/>
  <c r="T84" i="6" s="1"/>
  <c r="S82" i="6"/>
  <c r="T82" i="6" s="1"/>
  <c r="Q81" i="6" l="1"/>
  <c r="R81" i="6" s="1"/>
  <c r="U80" i="6" s="1"/>
  <c r="O81" i="6"/>
  <c r="I80" i="6"/>
  <c r="I81" i="6" s="1"/>
  <c r="F80" i="6"/>
  <c r="F81" i="6" s="1"/>
  <c r="R80" i="6" l="1"/>
  <c r="S80" i="6" s="1"/>
  <c r="T80" i="6" s="1"/>
  <c r="X79" i="6"/>
  <c r="Q79" i="6"/>
  <c r="R79" i="6" s="1"/>
  <c r="U78" i="6" s="1"/>
  <c r="O79" i="6"/>
  <c r="I79" i="6"/>
  <c r="F79" i="6"/>
  <c r="R78" i="6" s="1"/>
  <c r="Q77" i="6"/>
  <c r="R77" i="6" s="1"/>
  <c r="U76" i="6" s="1"/>
  <c r="O77" i="6"/>
  <c r="I76" i="6"/>
  <c r="I77" i="6" s="1"/>
  <c r="F76" i="6"/>
  <c r="F77" i="6" s="1"/>
  <c r="I74" i="6"/>
  <c r="I75" i="6" s="1"/>
  <c r="F74" i="6"/>
  <c r="F75" i="6" s="1"/>
  <c r="Q75" i="6"/>
  <c r="R75" i="6" s="1"/>
  <c r="U74" i="6" s="1"/>
  <c r="O75" i="6"/>
  <c r="R76" i="6" l="1"/>
  <c r="S78" i="6"/>
  <c r="T78" i="6" s="1"/>
  <c r="S76" i="6"/>
  <c r="T76" i="6" s="1"/>
  <c r="R74" i="6"/>
  <c r="S74" i="6" s="1"/>
  <c r="T74" i="6" s="1"/>
  <c r="X73" i="6" l="1"/>
  <c r="Q73" i="6"/>
  <c r="R73" i="6" s="1"/>
  <c r="U72" i="6" s="1"/>
  <c r="O73" i="6"/>
  <c r="I73" i="6"/>
  <c r="F73" i="6"/>
  <c r="R72" i="6" s="1"/>
  <c r="S72" i="6" l="1"/>
  <c r="T72" i="6" s="1"/>
  <c r="N71" i="6" l="1"/>
  <c r="Q71" i="6" s="1"/>
  <c r="Q70" i="6"/>
  <c r="O70" i="6"/>
  <c r="Q69" i="6"/>
  <c r="O69" i="6"/>
  <c r="I69" i="6"/>
  <c r="F69" i="6"/>
  <c r="P67" i="6"/>
  <c r="Q67" i="6" s="1"/>
  <c r="R67" i="6" s="1"/>
  <c r="U66" i="6" s="1"/>
  <c r="I62" i="6"/>
  <c r="I63" i="6" s="1"/>
  <c r="F62" i="6"/>
  <c r="F63" i="6" s="1"/>
  <c r="R63" i="6"/>
  <c r="U62" i="6" s="1"/>
  <c r="O67" i="6"/>
  <c r="I67" i="6"/>
  <c r="F67" i="6"/>
  <c r="R66" i="6"/>
  <c r="P65" i="6"/>
  <c r="Q65" i="6" s="1"/>
  <c r="R65" i="6" s="1"/>
  <c r="U64" i="6" s="1"/>
  <c r="O65" i="6"/>
  <c r="I65" i="6"/>
  <c r="F65" i="6"/>
  <c r="X57" i="6"/>
  <c r="Q57" i="6"/>
  <c r="R57" i="6" s="1"/>
  <c r="U56" i="6" s="1"/>
  <c r="O57" i="6"/>
  <c r="I57" i="6"/>
  <c r="F57" i="6"/>
  <c r="Q61" i="6"/>
  <c r="P60" i="6"/>
  <c r="Q60" i="6" s="1"/>
  <c r="Q59" i="6"/>
  <c r="I59" i="6"/>
  <c r="F59" i="6"/>
  <c r="R58" i="6" s="1"/>
  <c r="E58" i="6"/>
  <c r="O61" i="6" s="1"/>
  <c r="I54" i="6"/>
  <c r="I55" i="6" s="1"/>
  <c r="F54" i="6"/>
  <c r="F55" i="6" s="1"/>
  <c r="R64" i="6" l="1"/>
  <c r="S64" i="6" s="1"/>
  <c r="T64" i="6" s="1"/>
  <c r="R59" i="6"/>
  <c r="S58" i="6" s="1"/>
  <c r="T58" i="6" s="1"/>
  <c r="R68" i="6"/>
  <c r="R54" i="6"/>
  <c r="S54" i="6" s="1"/>
  <c r="T54" i="6" s="1"/>
  <c r="O71" i="6"/>
  <c r="R56" i="6"/>
  <c r="S56" i="6" s="1"/>
  <c r="T56" i="6" s="1"/>
  <c r="R69" i="6"/>
  <c r="U68" i="6" s="1"/>
  <c r="S66" i="6"/>
  <c r="T66" i="6" s="1"/>
  <c r="R62" i="6"/>
  <c r="S62" i="6" s="1"/>
  <c r="T62" i="6" s="1"/>
  <c r="O59" i="6"/>
  <c r="O60" i="6"/>
  <c r="U58" i="6"/>
  <c r="S68" i="6" l="1"/>
  <c r="T68" i="6" s="1"/>
  <c r="E51" i="6"/>
  <c r="I52" i="6"/>
  <c r="R51" i="6" s="1"/>
  <c r="S51" i="6" s="1"/>
  <c r="U49" i="6"/>
  <c r="I49" i="6"/>
  <c r="I50" i="6" s="1"/>
  <c r="F49" i="6"/>
  <c r="F50" i="6" s="1"/>
  <c r="E45" i="6"/>
  <c r="F48" i="6"/>
  <c r="I47" i="6"/>
  <c r="I48" i="6" s="1"/>
  <c r="E31" i="6"/>
  <c r="I31" i="6"/>
  <c r="I32" i="6" s="1"/>
  <c r="F31" i="6"/>
  <c r="F32" i="6" s="1"/>
  <c r="I45" i="6"/>
  <c r="I46" i="6" s="1"/>
  <c r="R45" i="6" s="1"/>
  <c r="S45" i="6" s="1"/>
  <c r="I43" i="6"/>
  <c r="I44" i="6" s="1"/>
  <c r="R43" i="6" s="1"/>
  <c r="S43" i="6" s="1"/>
  <c r="T43" i="6" s="1"/>
  <c r="I36" i="6"/>
  <c r="F35" i="6"/>
  <c r="F36" i="6" s="1"/>
  <c r="I34" i="6"/>
  <c r="F33" i="6"/>
  <c r="F34" i="6" s="1"/>
  <c r="F30" i="6"/>
  <c r="R29" i="6" s="1"/>
  <c r="S29" i="6" s="1"/>
  <c r="T29" i="6" s="1"/>
  <c r="F28" i="6"/>
  <c r="R27" i="6" s="1"/>
  <c r="S27" i="6" s="1"/>
  <c r="T27" i="6" s="1"/>
  <c r="Q42" i="6"/>
  <c r="R42" i="6" s="1"/>
  <c r="O42" i="6"/>
  <c r="I42" i="6"/>
  <c r="F42" i="6"/>
  <c r="I39" i="6"/>
  <c r="I40" i="6" s="1"/>
  <c r="F39" i="6"/>
  <c r="F40" i="6" s="1"/>
  <c r="I37" i="6"/>
  <c r="I38" i="6" s="1"/>
  <c r="F37" i="6"/>
  <c r="F38" i="6" s="1"/>
  <c r="I23" i="6"/>
  <c r="I24" i="6" s="1"/>
  <c r="F23" i="6"/>
  <c r="F24" i="6" s="1"/>
  <c r="A23" i="6"/>
  <c r="T45" i="6" l="1"/>
  <c r="U41" i="6"/>
  <c r="R35" i="6"/>
  <c r="S35" i="6" s="1"/>
  <c r="T35" i="6" s="1"/>
  <c r="R31" i="6"/>
  <c r="S31" i="6" s="1"/>
  <c r="T31" i="6" s="1"/>
  <c r="R41" i="6"/>
  <c r="S41" i="6" s="1"/>
  <c r="T41" i="6" s="1"/>
  <c r="R33" i="6"/>
  <c r="S33" i="6" s="1"/>
  <c r="T33" i="6" s="1"/>
  <c r="T51" i="6"/>
  <c r="R49" i="6"/>
  <c r="S49" i="6" s="1"/>
  <c r="T49" i="6" s="1"/>
  <c r="R47" i="6"/>
  <c r="S47" i="6" s="1"/>
  <c r="T47" i="6" s="1"/>
  <c r="A27" i="6"/>
  <c r="A29" i="6" s="1"/>
  <c r="R39" i="6"/>
  <c r="S39" i="6" s="1"/>
  <c r="T39" i="6" s="1"/>
  <c r="R37" i="6"/>
  <c r="S37" i="6" s="1"/>
  <c r="T37" i="6" s="1"/>
  <c r="R23" i="6"/>
  <c r="S23" i="6" s="1"/>
  <c r="T23" i="6" s="1"/>
  <c r="A31" i="6" l="1"/>
  <c r="A33" i="6" s="1"/>
  <c r="A35" i="6" s="1"/>
  <c r="A37" i="6" s="1"/>
  <c r="A39" i="6" s="1"/>
  <c r="A41" i="6" s="1"/>
  <c r="A43" i="6" s="1"/>
  <c r="A45" i="6" s="1"/>
  <c r="A47" i="6" s="1"/>
  <c r="A49" i="6" s="1"/>
  <c r="A51" i="6" s="1"/>
  <c r="A54" i="6" s="1"/>
  <c r="A56" i="6" s="1"/>
  <c r="A58" i="6" s="1"/>
  <c r="A62" i="6" s="1"/>
  <c r="A64" i="6" s="1"/>
  <c r="A66" i="6" s="1"/>
  <c r="A68" i="6" s="1"/>
  <c r="A72" i="6" s="1"/>
  <c r="A74" i="6" s="1"/>
  <c r="A78" i="6" l="1"/>
  <c r="A76" i="6"/>
  <c r="A82" i="6" l="1"/>
  <c r="A84" i="6" s="1"/>
  <c r="A86" i="6" s="1"/>
  <c r="A88" i="6" s="1"/>
  <c r="A90" i="6" s="1"/>
  <c r="A92" i="6" s="1"/>
  <c r="A94" i="6" s="1"/>
  <c r="A96" i="6" s="1"/>
  <c r="A98" i="6" s="1"/>
  <c r="A100" i="6" s="1"/>
  <c r="A102" i="6" s="1"/>
  <c r="A104" i="6" s="1"/>
  <c r="A106" i="6" s="1"/>
  <c r="A80" i="6"/>
  <c r="U129" i="6" l="1"/>
  <c r="T129" i="6" l="1"/>
  <c r="P295" i="34"/>
  <c r="E294" i="34"/>
  <c r="O295" i="34" s="1"/>
  <c r="E292" i="34"/>
  <c r="O293" i="34" s="1"/>
  <c r="O291" i="34"/>
  <c r="F286" i="34"/>
  <c r="E286" i="34"/>
  <c r="O287" i="34" s="1"/>
  <c r="F284" i="34"/>
  <c r="A284" i="34"/>
  <c r="A286" i="34" s="1"/>
  <c r="A290" i="34" s="1"/>
  <c r="A292" i="34" s="1"/>
  <c r="A294" i="34" s="1"/>
  <c r="F282" i="34"/>
  <c r="E282" i="34"/>
  <c r="E284" i="34" s="1"/>
  <c r="U281" i="34"/>
  <c r="P280" i="34"/>
  <c r="E279" i="34"/>
  <c r="O280" i="34" s="1"/>
  <c r="E277" i="34"/>
  <c r="O278" i="34" s="1"/>
  <c r="O276" i="34"/>
  <c r="F271" i="34"/>
  <c r="E271" i="34"/>
  <c r="O272" i="34" s="1"/>
  <c r="F269" i="34"/>
  <c r="A269" i="34"/>
  <c r="A271" i="34" s="1"/>
  <c r="A275" i="34" s="1"/>
  <c r="A277" i="34" s="1"/>
  <c r="A279" i="34" s="1"/>
  <c r="F267" i="34"/>
  <c r="E267" i="34"/>
  <c r="E269" i="34" s="1"/>
  <c r="U266" i="34"/>
  <c r="O265" i="34"/>
  <c r="I264" i="34"/>
  <c r="F264" i="34"/>
  <c r="N263" i="34"/>
  <c r="O263" i="34" s="1"/>
  <c r="N262" i="34"/>
  <c r="O262" i="34" s="1"/>
  <c r="I261" i="34"/>
  <c r="F261" i="34"/>
  <c r="I259" i="34"/>
  <c r="F259" i="34"/>
  <c r="E259" i="34"/>
  <c r="O258" i="34"/>
  <c r="O256" i="34"/>
  <c r="P254" i="34"/>
  <c r="O254" i="34"/>
  <c r="P252" i="34"/>
  <c r="O252" i="34"/>
  <c r="N250" i="34"/>
  <c r="I249" i="34"/>
  <c r="F249" i="34"/>
  <c r="E249" i="34"/>
  <c r="P248" i="34"/>
  <c r="N248" i="34"/>
  <c r="O248" i="34" s="1"/>
  <c r="P247" i="34"/>
  <c r="O247" i="34"/>
  <c r="I246" i="34"/>
  <c r="F246" i="34"/>
  <c r="O245" i="34"/>
  <c r="O244" i="34"/>
  <c r="O243" i="34"/>
  <c r="I242" i="34"/>
  <c r="F242" i="34"/>
  <c r="P240" i="34"/>
  <c r="I239" i="34"/>
  <c r="F239" i="34"/>
  <c r="E239" i="34"/>
  <c r="O240" i="34" s="1"/>
  <c r="O238" i="34"/>
  <c r="I237" i="34"/>
  <c r="P236" i="34"/>
  <c r="O236" i="34"/>
  <c r="O234" i="34"/>
  <c r="O233" i="34"/>
  <c r="I232" i="34"/>
  <c r="F232" i="34"/>
  <c r="O231" i="34"/>
  <c r="O230" i="34"/>
  <c r="O229" i="34"/>
  <c r="F226" i="34"/>
  <c r="F224" i="34"/>
  <c r="A224" i="34"/>
  <c r="A226" i="34" s="1"/>
  <c r="A228" i="34" s="1"/>
  <c r="A232" i="34" s="1"/>
  <c r="A235" i="34" s="1"/>
  <c r="A237" i="34" s="1"/>
  <c r="A239" i="34" s="1"/>
  <c r="A242" i="34" s="1"/>
  <c r="A246" i="34" s="1"/>
  <c r="A249" i="34" s="1"/>
  <c r="A251" i="34" s="1"/>
  <c r="A253" i="34" s="1"/>
  <c r="A255" i="34" s="1"/>
  <c r="A257" i="34" s="1"/>
  <c r="A259" i="34" s="1"/>
  <c r="A261" i="34" s="1"/>
  <c r="A264" i="34" s="1"/>
  <c r="F222" i="34"/>
  <c r="P219" i="34"/>
  <c r="E218" i="34"/>
  <c r="O219" i="34" s="1"/>
  <c r="E216" i="34"/>
  <c r="O217" i="34" s="1"/>
  <c r="O215" i="34"/>
  <c r="F210" i="34"/>
  <c r="E210" i="34"/>
  <c r="O213" i="34" s="1"/>
  <c r="F208" i="34"/>
  <c r="A208" i="34"/>
  <c r="A210" i="34" s="1"/>
  <c r="A214" i="34" s="1"/>
  <c r="A216" i="34" s="1"/>
  <c r="A218" i="34" s="1"/>
  <c r="F206" i="34"/>
  <c r="E206" i="34"/>
  <c r="E208" i="34" s="1"/>
  <c r="U205" i="34"/>
  <c r="P204" i="34"/>
  <c r="E203" i="34"/>
  <c r="O204" i="34" s="1"/>
  <c r="E201" i="34"/>
  <c r="O202" i="34" s="1"/>
  <c r="O200" i="34"/>
  <c r="F195" i="34"/>
  <c r="E195" i="34"/>
  <c r="F193" i="34"/>
  <c r="A193" i="34"/>
  <c r="A195" i="34" s="1"/>
  <c r="A199" i="34" s="1"/>
  <c r="A201" i="34" s="1"/>
  <c r="A203" i="34" s="1"/>
  <c r="F191" i="34"/>
  <c r="E191" i="34"/>
  <c r="E193" i="34" s="1"/>
  <c r="U190" i="34"/>
  <c r="P189" i="34"/>
  <c r="E188" i="34"/>
  <c r="O189" i="34" s="1"/>
  <c r="E186" i="34"/>
  <c r="O187" i="34" s="1"/>
  <c r="E184" i="34"/>
  <c r="O185" i="34" s="1"/>
  <c r="F180" i="34"/>
  <c r="E180" i="34"/>
  <c r="O183" i="34" s="1"/>
  <c r="F178" i="34"/>
  <c r="A178" i="34"/>
  <c r="A180" i="34" s="1"/>
  <c r="A184" i="34" s="1"/>
  <c r="A186" i="34" s="1"/>
  <c r="A188" i="34" s="1"/>
  <c r="F176" i="34"/>
  <c r="E176" i="34"/>
  <c r="E178" i="34" s="1"/>
  <c r="U175" i="34"/>
  <c r="O174" i="34"/>
  <c r="I173" i="34"/>
  <c r="F173" i="34"/>
  <c r="N172" i="34"/>
  <c r="N171" i="34"/>
  <c r="O171" i="34" s="1"/>
  <c r="I170" i="34"/>
  <c r="F170" i="34"/>
  <c r="I168" i="34"/>
  <c r="F168" i="34"/>
  <c r="E168" i="34"/>
  <c r="P167" i="34"/>
  <c r="O167" i="34"/>
  <c r="O165" i="34"/>
  <c r="O163" i="34"/>
  <c r="O161" i="34"/>
  <c r="N159" i="34"/>
  <c r="I158" i="34"/>
  <c r="F158" i="34"/>
  <c r="E158" i="34"/>
  <c r="P157" i="34"/>
  <c r="N157" i="34"/>
  <c r="O157" i="34" s="1"/>
  <c r="P156" i="34"/>
  <c r="O156" i="34"/>
  <c r="I155" i="34"/>
  <c r="F155" i="34"/>
  <c r="O154" i="34"/>
  <c r="O153" i="34"/>
  <c r="O152" i="34"/>
  <c r="I151" i="34"/>
  <c r="F151" i="34"/>
  <c r="P149" i="34"/>
  <c r="I148" i="34"/>
  <c r="F148" i="34"/>
  <c r="E148" i="34"/>
  <c r="O149" i="34" s="1"/>
  <c r="P146" i="34"/>
  <c r="I145" i="34"/>
  <c r="F145" i="34"/>
  <c r="E145" i="34"/>
  <c r="O147" i="34" s="1"/>
  <c r="O144" i="34"/>
  <c r="I143" i="34"/>
  <c r="P142" i="34"/>
  <c r="O142" i="34"/>
  <c r="O140" i="34"/>
  <c r="O139" i="34"/>
  <c r="I138" i="34"/>
  <c r="F138" i="34"/>
  <c r="O137" i="34"/>
  <c r="O136" i="34"/>
  <c r="O135" i="34"/>
  <c r="F132" i="34"/>
  <c r="A130" i="34"/>
  <c r="A132" i="34" s="1"/>
  <c r="A134" i="34" s="1"/>
  <c r="A138" i="34" s="1"/>
  <c r="A141" i="34" s="1"/>
  <c r="A143" i="34" s="1"/>
  <c r="A145" i="34" s="1"/>
  <c r="A148" i="34" s="1"/>
  <c r="A151" i="34" s="1"/>
  <c r="A155" i="34" s="1"/>
  <c r="A158" i="34" s="1"/>
  <c r="A160" i="34" s="1"/>
  <c r="A162" i="34" s="1"/>
  <c r="F128" i="34"/>
  <c r="P125" i="34"/>
  <c r="E124" i="34"/>
  <c r="O125" i="34" s="1"/>
  <c r="E122" i="34"/>
  <c r="O123" i="34" s="1"/>
  <c r="O121" i="34"/>
  <c r="F116" i="34"/>
  <c r="E116" i="34"/>
  <c r="O119" i="34" s="1"/>
  <c r="F114" i="34"/>
  <c r="A114" i="34"/>
  <c r="A116" i="34" s="1"/>
  <c r="A120" i="34" s="1"/>
  <c r="A122" i="34" s="1"/>
  <c r="A124" i="34" s="1"/>
  <c r="F112" i="34"/>
  <c r="E112" i="34"/>
  <c r="U111" i="34"/>
  <c r="O110" i="34"/>
  <c r="I109" i="34"/>
  <c r="F109" i="34"/>
  <c r="N108" i="34"/>
  <c r="N107" i="34"/>
  <c r="O107" i="34" s="1"/>
  <c r="I106" i="34"/>
  <c r="F106" i="34"/>
  <c r="I104" i="34"/>
  <c r="F104" i="34"/>
  <c r="E104" i="34"/>
  <c r="O105" i="34" s="1"/>
  <c r="O103" i="34"/>
  <c r="O101" i="34"/>
  <c r="N99" i="34"/>
  <c r="I98" i="34"/>
  <c r="F98" i="34"/>
  <c r="E98" i="34"/>
  <c r="P97" i="34"/>
  <c r="N97" i="34"/>
  <c r="O97" i="34" s="1"/>
  <c r="P96" i="34"/>
  <c r="O96" i="34"/>
  <c r="I95" i="34"/>
  <c r="F95" i="34"/>
  <c r="O94" i="34"/>
  <c r="O93" i="34"/>
  <c r="O92" i="34"/>
  <c r="I91" i="34"/>
  <c r="F91" i="34"/>
  <c r="P89" i="34"/>
  <c r="I88" i="34"/>
  <c r="F88" i="34"/>
  <c r="E88" i="34"/>
  <c r="O89" i="34" s="1"/>
  <c r="P86" i="34"/>
  <c r="I85" i="34"/>
  <c r="F85" i="34"/>
  <c r="E85" i="34"/>
  <c r="O87" i="34" s="1"/>
  <c r="O84" i="34"/>
  <c r="I83" i="34"/>
  <c r="P82" i="34"/>
  <c r="O82" i="34"/>
  <c r="O80" i="34"/>
  <c r="O79" i="34"/>
  <c r="I78" i="34"/>
  <c r="F78" i="34"/>
  <c r="O77" i="34"/>
  <c r="O76" i="34"/>
  <c r="O75" i="34"/>
  <c r="F72" i="34"/>
  <c r="F70" i="34"/>
  <c r="F68" i="34"/>
  <c r="O67" i="34"/>
  <c r="P65" i="34"/>
  <c r="O65" i="34"/>
  <c r="O64" i="34"/>
  <c r="I63" i="34"/>
  <c r="F63" i="34"/>
  <c r="O62" i="34"/>
  <c r="O61" i="34"/>
  <c r="E56" i="34"/>
  <c r="O57" i="34" s="1"/>
  <c r="O55" i="34"/>
  <c r="E50" i="34"/>
  <c r="O51" i="34" s="1"/>
  <c r="O49" i="34"/>
  <c r="E44" i="34"/>
  <c r="O45" i="34" s="1"/>
  <c r="O43" i="34"/>
  <c r="U38" i="34"/>
  <c r="I38" i="34"/>
  <c r="F38" i="34"/>
  <c r="Q37" i="34"/>
  <c r="R37" i="34" s="1"/>
  <c r="O37" i="34"/>
  <c r="E34" i="34"/>
  <c r="I32" i="34"/>
  <c r="F32" i="34"/>
  <c r="F30" i="34"/>
  <c r="F28" i="34"/>
  <c r="F26" i="34"/>
  <c r="A26" i="34"/>
  <c r="A28" i="34" s="1"/>
  <c r="A30" i="34" s="1"/>
  <c r="A32" i="34" s="1"/>
  <c r="I24" i="34"/>
  <c r="F24" i="34"/>
  <c r="I22" i="34"/>
  <c r="F22" i="34"/>
  <c r="O212" i="34" l="1"/>
  <c r="O59" i="34"/>
  <c r="O211" i="34"/>
  <c r="O53" i="34"/>
  <c r="O58" i="34"/>
  <c r="O117" i="34"/>
  <c r="O118" i="34"/>
  <c r="O52" i="34"/>
  <c r="O99" i="34"/>
  <c r="U36" i="34"/>
  <c r="O146" i="34"/>
  <c r="O288" i="34"/>
  <c r="O289" i="34"/>
  <c r="O150" i="34"/>
  <c r="O241" i="34"/>
  <c r="O250" i="34"/>
  <c r="A38" i="34"/>
  <c r="A34" i="34"/>
  <c r="A36" i="34" s="1"/>
  <c r="O47" i="34"/>
  <c r="O46" i="34"/>
  <c r="A168" i="34"/>
  <c r="A170" i="34" s="1"/>
  <c r="A173" i="34" s="1"/>
  <c r="A164" i="34"/>
  <c r="A166" i="34" s="1"/>
  <c r="O90" i="34"/>
  <c r="O108" i="34"/>
  <c r="E114" i="34"/>
  <c r="O86" i="34"/>
  <c r="O159" i="34"/>
  <c r="O172" i="34"/>
  <c r="O169" i="34"/>
  <c r="O198" i="34"/>
  <c r="O181" i="34"/>
  <c r="O182" i="34"/>
  <c r="O196" i="34"/>
  <c r="O197" i="34"/>
  <c r="O260" i="34"/>
  <c r="O273" i="34"/>
  <c r="O274" i="34"/>
  <c r="A48" i="34" l="1"/>
  <c r="A50" i="34" s="1"/>
  <c r="A54" i="34" s="1"/>
  <c r="A56" i="34" s="1"/>
  <c r="A60" i="34" s="1"/>
  <c r="A63" i="34" s="1"/>
  <c r="A66" i="34" s="1"/>
  <c r="A68" i="34" s="1"/>
  <c r="A70" i="34" s="1"/>
  <c r="A72" i="34" s="1"/>
  <c r="A74" i="34" s="1"/>
  <c r="A78" i="34" s="1"/>
  <c r="A81" i="34" s="1"/>
  <c r="A83" i="34" s="1"/>
  <c r="A85" i="34" s="1"/>
  <c r="A88" i="34" s="1"/>
  <c r="A91" i="34" s="1"/>
  <c r="A95" i="34" s="1"/>
  <c r="A98" i="34" s="1"/>
  <c r="A100" i="34" s="1"/>
  <c r="A102" i="34" s="1"/>
  <c r="A104" i="34" s="1"/>
  <c r="A106" i="34" s="1"/>
  <c r="A109" i="34" s="1"/>
  <c r="A40" i="34"/>
  <c r="A42" i="34" s="1"/>
  <c r="A44" i="34" s="1"/>
  <c r="A41" i="12" l="1"/>
  <c r="W4" i="34" l="1"/>
  <c r="W4" i="33" l="1"/>
  <c r="D20" i="12" l="1"/>
  <c r="E20" i="12"/>
  <c r="F20" i="12"/>
  <c r="A1" i="33" l="1"/>
  <c r="V14" i="34" l="1"/>
  <c r="Q13" i="34"/>
  <c r="J13" i="34"/>
  <c r="N11" i="34"/>
  <c r="D11" i="34"/>
  <c r="U14" i="34" s="1"/>
  <c r="P9" i="34"/>
  <c r="A1" i="34"/>
  <c r="Q293" i="34" l="1"/>
  <c r="R293" i="34" s="1"/>
  <c r="U292" i="34" s="1"/>
  <c r="Q289" i="34"/>
  <c r="Q288" i="34"/>
  <c r="Q265" i="34"/>
  <c r="R265" i="34" s="1"/>
  <c r="U264" i="34" s="1"/>
  <c r="Q287" i="34"/>
  <c r="Q276" i="34"/>
  <c r="Q262" i="34"/>
  <c r="Q256" i="34"/>
  <c r="R256" i="34" s="1"/>
  <c r="U255" i="34" s="1"/>
  <c r="Q280" i="34"/>
  <c r="R280" i="34" s="1"/>
  <c r="U279" i="34" s="1"/>
  <c r="Q278" i="34"/>
  <c r="R278" i="34" s="1"/>
  <c r="U277" i="34" s="1"/>
  <c r="Q274" i="34"/>
  <c r="Q273" i="34"/>
  <c r="Q260" i="34"/>
  <c r="R260" i="34" s="1"/>
  <c r="U259" i="34" s="1"/>
  <c r="Q291" i="34"/>
  <c r="Q272" i="34"/>
  <c r="Q258" i="34"/>
  <c r="R258" i="34" s="1"/>
  <c r="U257" i="34" s="1"/>
  <c r="Q254" i="34"/>
  <c r="R254" i="34" s="1"/>
  <c r="U253" i="34" s="1"/>
  <c r="Q252" i="34"/>
  <c r="R252" i="34" s="1"/>
  <c r="U251" i="34" s="1"/>
  <c r="Q244" i="34"/>
  <c r="Q241" i="34"/>
  <c r="Q211" i="34"/>
  <c r="Q200" i="34"/>
  <c r="Q250" i="34"/>
  <c r="R250" i="34" s="1"/>
  <c r="U249" i="34" s="1"/>
  <c r="Q234" i="34"/>
  <c r="Q231" i="34"/>
  <c r="Q230" i="34"/>
  <c r="Q245" i="34"/>
  <c r="Q236" i="34"/>
  <c r="R236" i="34" s="1"/>
  <c r="Q233" i="34"/>
  <c r="Q229" i="34"/>
  <c r="Q243" i="34"/>
  <c r="Q240" i="34"/>
  <c r="Q238" i="34"/>
  <c r="R238" i="34" s="1"/>
  <c r="U237" i="34" s="1"/>
  <c r="Q217" i="34"/>
  <c r="R217" i="34" s="1"/>
  <c r="U216" i="34" s="1"/>
  <c r="Q213" i="34"/>
  <c r="Q212" i="34"/>
  <c r="Q187" i="34"/>
  <c r="R187" i="34" s="1"/>
  <c r="U186" i="34" s="1"/>
  <c r="Q215" i="34"/>
  <c r="Q182" i="34"/>
  <c r="Q181" i="34"/>
  <c r="Q171" i="34"/>
  <c r="Q204" i="34"/>
  <c r="R204" i="34" s="1"/>
  <c r="U203" i="34" s="1"/>
  <c r="Q198" i="34"/>
  <c r="Q183" i="34"/>
  <c r="Q169" i="34"/>
  <c r="R169" i="34" s="1"/>
  <c r="U168" i="34" s="1"/>
  <c r="Q165" i="34"/>
  <c r="R165" i="34" s="1"/>
  <c r="U164" i="34" s="1"/>
  <c r="Q202" i="34"/>
  <c r="R202" i="34" s="1"/>
  <c r="U201" i="34" s="1"/>
  <c r="Q196" i="34"/>
  <c r="Q167" i="34"/>
  <c r="R167" i="34" s="1"/>
  <c r="U166" i="34" s="1"/>
  <c r="Q146" i="34"/>
  <c r="Q197" i="34"/>
  <c r="Q185" i="34"/>
  <c r="Q174" i="34"/>
  <c r="R174" i="34" s="1"/>
  <c r="U173" i="34" s="1"/>
  <c r="Q163" i="34"/>
  <c r="R163" i="34" s="1"/>
  <c r="U162" i="34" s="1"/>
  <c r="Q154" i="34"/>
  <c r="Q153" i="34"/>
  <c r="Q150" i="34"/>
  <c r="Q139" i="34"/>
  <c r="Q135" i="34"/>
  <c r="Q123" i="34"/>
  <c r="R123" i="34" s="1"/>
  <c r="U122" i="34" s="1"/>
  <c r="Q119" i="34"/>
  <c r="Q118" i="34"/>
  <c r="Q105" i="34"/>
  <c r="R105" i="34" s="1"/>
  <c r="U104" i="34" s="1"/>
  <c r="Q144" i="34"/>
  <c r="R144" i="34" s="1"/>
  <c r="U143" i="34" s="1"/>
  <c r="Q140" i="34"/>
  <c r="Q137" i="34"/>
  <c r="Q136" i="34"/>
  <c r="Q121" i="34"/>
  <c r="Q101" i="34"/>
  <c r="R101" i="34" s="1"/>
  <c r="U100" i="34" s="1"/>
  <c r="Q80" i="34"/>
  <c r="Q161" i="34"/>
  <c r="R161" i="34" s="1"/>
  <c r="U160" i="34" s="1"/>
  <c r="Q147" i="34"/>
  <c r="Q117" i="34"/>
  <c r="Q103" i="34"/>
  <c r="R103" i="34" s="1"/>
  <c r="U102" i="34" s="1"/>
  <c r="Q97" i="34"/>
  <c r="Q82" i="34"/>
  <c r="R82" i="34" s="1"/>
  <c r="Q110" i="34"/>
  <c r="R110" i="34" s="1"/>
  <c r="U109" i="34" s="1"/>
  <c r="Q96" i="34"/>
  <c r="Q93" i="34"/>
  <c r="Q92" i="34"/>
  <c r="Q90" i="34"/>
  <c r="Q89" i="34"/>
  <c r="Q84" i="34"/>
  <c r="R84" i="34" s="1"/>
  <c r="U83" i="34" s="1"/>
  <c r="Q152" i="34"/>
  <c r="Q94" i="34"/>
  <c r="Q87" i="34"/>
  <c r="Q64" i="34"/>
  <c r="Q61" i="34"/>
  <c r="Q45" i="34"/>
  <c r="Q79" i="34"/>
  <c r="Q77" i="34"/>
  <c r="Q59" i="34"/>
  <c r="Q52" i="34"/>
  <c r="Q51" i="34"/>
  <c r="Q46" i="34"/>
  <c r="Q53" i="34"/>
  <c r="Q47" i="34"/>
  <c r="Q62" i="34"/>
  <c r="Q76" i="34"/>
  <c r="Q75" i="34"/>
  <c r="Q67" i="34"/>
  <c r="R67" i="34" s="1"/>
  <c r="U66" i="34" s="1"/>
  <c r="Q58" i="34"/>
  <c r="Q57" i="34"/>
  <c r="Q55" i="34"/>
  <c r="R55" i="34" s="1"/>
  <c r="U54" i="34" s="1"/>
  <c r="Q49" i="34"/>
  <c r="R49" i="34" s="1"/>
  <c r="U48" i="34" s="1"/>
  <c r="Q43" i="34"/>
  <c r="R43" i="34" s="1"/>
  <c r="U42" i="34" s="1"/>
  <c r="Q219" i="34"/>
  <c r="R219" i="34" s="1"/>
  <c r="U218" i="34" s="1"/>
  <c r="Q159" i="34"/>
  <c r="R159" i="34" s="1"/>
  <c r="U158" i="34" s="1"/>
  <c r="Q65" i="34"/>
  <c r="Q99" i="34"/>
  <c r="R99" i="34" s="1"/>
  <c r="U98" i="34" s="1"/>
  <c r="Q172" i="34"/>
  <c r="Q247" i="34"/>
  <c r="Q295" i="34"/>
  <c r="R295" i="34" s="1"/>
  <c r="U294" i="34" s="1"/>
  <c r="Q86" i="34"/>
  <c r="Q149" i="34"/>
  <c r="Q107" i="34"/>
  <c r="Q156" i="34"/>
  <c r="Q142" i="34"/>
  <c r="R142" i="34" s="1"/>
  <c r="Q189" i="34"/>
  <c r="R189" i="34" s="1"/>
  <c r="U188" i="34" s="1"/>
  <c r="Q108" i="34"/>
  <c r="Q157" i="34"/>
  <c r="Q125" i="34"/>
  <c r="R125" i="34" s="1"/>
  <c r="U124" i="34" s="1"/>
  <c r="Q263" i="34"/>
  <c r="Q248" i="34"/>
  <c r="F295" i="34"/>
  <c r="F287" i="34"/>
  <c r="F276" i="34"/>
  <c r="F256" i="34"/>
  <c r="F278" i="34"/>
  <c r="F291" i="34"/>
  <c r="F280" i="34"/>
  <c r="F270" i="34"/>
  <c r="R269" i="34" s="1"/>
  <c r="S269" i="34" s="1"/>
  <c r="T269" i="34" s="1"/>
  <c r="F268" i="34"/>
  <c r="F258" i="34"/>
  <c r="F293" i="34"/>
  <c r="F254" i="34"/>
  <c r="F252" i="34"/>
  <c r="F202" i="34"/>
  <c r="F229" i="34"/>
  <c r="F238" i="34"/>
  <c r="F223" i="34"/>
  <c r="F217" i="34"/>
  <c r="F219" i="34"/>
  <c r="F200" i="34"/>
  <c r="F189" i="34"/>
  <c r="F165" i="34"/>
  <c r="F192" i="34"/>
  <c r="F185" i="34"/>
  <c r="F179" i="34"/>
  <c r="R178" i="34" s="1"/>
  <c r="S178" i="34" s="1"/>
  <c r="T178" i="34" s="1"/>
  <c r="F177" i="34"/>
  <c r="F215" i="34"/>
  <c r="F194" i="34"/>
  <c r="R193" i="34" s="1"/>
  <c r="S193" i="34" s="1"/>
  <c r="T193" i="34" s="1"/>
  <c r="F187" i="34"/>
  <c r="F167" i="34"/>
  <c r="F163" i="34"/>
  <c r="F204" i="34"/>
  <c r="F196" i="34"/>
  <c r="F144" i="34"/>
  <c r="F125" i="34"/>
  <c r="F103" i="34"/>
  <c r="F131" i="34"/>
  <c r="F110" i="34"/>
  <c r="F92" i="34"/>
  <c r="F149" i="34"/>
  <c r="F89" i="34"/>
  <c r="F84" i="34"/>
  <c r="F161" i="34"/>
  <c r="F135" i="34"/>
  <c r="F133" i="34"/>
  <c r="F123" i="34"/>
  <c r="F121" i="34"/>
  <c r="F101" i="34"/>
  <c r="F67" i="34"/>
  <c r="F55" i="34"/>
  <c r="F75" i="34"/>
  <c r="F64" i="34"/>
  <c r="F61" i="34"/>
  <c r="F57" i="34"/>
  <c r="F49" i="34"/>
  <c r="F39" i="34"/>
  <c r="F79" i="34"/>
  <c r="F69" i="34"/>
  <c r="F51" i="34"/>
  <c r="F45" i="34"/>
  <c r="F43" i="34"/>
  <c r="F37" i="34"/>
  <c r="F33" i="34"/>
  <c r="F29" i="34"/>
  <c r="F25" i="34"/>
  <c r="F71" i="34"/>
  <c r="F139" i="34"/>
  <c r="F129" i="34"/>
  <c r="F171" i="34"/>
  <c r="F227" i="34"/>
  <c r="F283" i="34"/>
  <c r="F23" i="34"/>
  <c r="F73" i="34"/>
  <c r="F86" i="34"/>
  <c r="F115" i="34"/>
  <c r="R114" i="34" s="1"/>
  <c r="S114" i="34" s="1"/>
  <c r="T114" i="34" s="1"/>
  <c r="F117" i="34"/>
  <c r="F169" i="34"/>
  <c r="F113" i="34"/>
  <c r="F159" i="34"/>
  <c r="F211" i="34"/>
  <c r="F233" i="34"/>
  <c r="F99" i="34"/>
  <c r="F96" i="34"/>
  <c r="F105" i="34"/>
  <c r="F250" i="34"/>
  <c r="F247" i="34"/>
  <c r="F265" i="34"/>
  <c r="F272" i="34"/>
  <c r="F31" i="34"/>
  <c r="F107" i="34"/>
  <c r="F27" i="34"/>
  <c r="R26" i="34" s="1"/>
  <c r="S26" i="34" s="1"/>
  <c r="T26" i="34" s="1"/>
  <c r="F152" i="34"/>
  <c r="F174" i="34"/>
  <c r="F181" i="34"/>
  <c r="F146" i="34"/>
  <c r="F240" i="34"/>
  <c r="F209" i="34"/>
  <c r="R208" i="34" s="1"/>
  <c r="S208" i="34" s="1"/>
  <c r="T208" i="34" s="1"/>
  <c r="F207" i="34"/>
  <c r="F285" i="34"/>
  <c r="R284" i="34" s="1"/>
  <c r="S284" i="34" s="1"/>
  <c r="T284" i="34" s="1"/>
  <c r="F156" i="34"/>
  <c r="F243" i="34"/>
  <c r="F225" i="34"/>
  <c r="F262" i="34"/>
  <c r="F260" i="34"/>
  <c r="I278" i="34"/>
  <c r="I291" i="34"/>
  <c r="I280" i="34"/>
  <c r="I272" i="34"/>
  <c r="I268" i="34"/>
  <c r="I258" i="34"/>
  <c r="I293" i="34"/>
  <c r="I254" i="34"/>
  <c r="I295" i="34"/>
  <c r="I287" i="34"/>
  <c r="I283" i="34"/>
  <c r="I276" i="34"/>
  <c r="I256" i="34"/>
  <c r="I229" i="34"/>
  <c r="I215" i="34"/>
  <c r="I204" i="34"/>
  <c r="I196" i="34"/>
  <c r="I192" i="34"/>
  <c r="I223" i="34"/>
  <c r="I217" i="34"/>
  <c r="I225" i="34"/>
  <c r="I219" i="34"/>
  <c r="I252" i="34"/>
  <c r="I227" i="34"/>
  <c r="I202" i="34"/>
  <c r="I181" i="34"/>
  <c r="I200" i="34"/>
  <c r="I185" i="34"/>
  <c r="I177" i="34"/>
  <c r="I187" i="34"/>
  <c r="I167" i="34"/>
  <c r="I207" i="34"/>
  <c r="I189" i="34"/>
  <c r="I211" i="34"/>
  <c r="I165" i="34"/>
  <c r="I161" i="34"/>
  <c r="I131" i="34"/>
  <c r="I107" i="34"/>
  <c r="I105" i="34"/>
  <c r="I135" i="34"/>
  <c r="I133" i="34"/>
  <c r="I123" i="34"/>
  <c r="I121" i="34"/>
  <c r="I101" i="34"/>
  <c r="I163" i="34"/>
  <c r="I129" i="34"/>
  <c r="I125" i="34"/>
  <c r="I117" i="34"/>
  <c r="I113" i="34"/>
  <c r="I103" i="34"/>
  <c r="I75" i="34"/>
  <c r="I57" i="34"/>
  <c r="I49" i="34"/>
  <c r="I41" i="34"/>
  <c r="R40" i="34" s="1"/>
  <c r="S40" i="34" s="1"/>
  <c r="T40" i="34" s="1"/>
  <c r="I35" i="34"/>
  <c r="R34" i="34" s="1"/>
  <c r="S34" i="34" s="1"/>
  <c r="T34" i="34" s="1"/>
  <c r="I61" i="34"/>
  <c r="I73" i="34"/>
  <c r="I71" i="34"/>
  <c r="I69" i="34"/>
  <c r="I67" i="34"/>
  <c r="I55" i="34"/>
  <c r="I51" i="34"/>
  <c r="I45" i="34"/>
  <c r="I43" i="34"/>
  <c r="I37" i="34"/>
  <c r="I31" i="34"/>
  <c r="I29" i="34"/>
  <c r="I23" i="34"/>
  <c r="I39" i="34"/>
  <c r="I89" i="34"/>
  <c r="I110" i="34"/>
  <c r="I149" i="34"/>
  <c r="I139" i="34"/>
  <c r="I79" i="34"/>
  <c r="I144" i="34"/>
  <c r="I96" i="34"/>
  <c r="I152" i="34"/>
  <c r="I240" i="34"/>
  <c r="I262" i="34"/>
  <c r="I265" i="34"/>
  <c r="I250" i="34"/>
  <c r="I25" i="34"/>
  <c r="I64" i="34"/>
  <c r="I84" i="34"/>
  <c r="I146" i="34"/>
  <c r="I156" i="34"/>
  <c r="I171" i="34"/>
  <c r="I174" i="34"/>
  <c r="I169" i="34"/>
  <c r="I233" i="34"/>
  <c r="I260" i="34"/>
  <c r="I33" i="34"/>
  <c r="I86" i="34"/>
  <c r="I159" i="34"/>
  <c r="I92" i="34"/>
  <c r="I247" i="34"/>
  <c r="I243" i="34"/>
  <c r="I99" i="34"/>
  <c r="I238" i="34"/>
  <c r="V280" i="34"/>
  <c r="W280" i="34" s="1"/>
  <c r="V278" i="34"/>
  <c r="W278" i="34" s="1"/>
  <c r="V268" i="34"/>
  <c r="W268" i="34" s="1"/>
  <c r="V260" i="34"/>
  <c r="W260" i="34" s="1"/>
  <c r="V252" i="34"/>
  <c r="W252" i="34" s="1"/>
  <c r="V245" i="34"/>
  <c r="W245" i="34" s="1"/>
  <c r="V244" i="34"/>
  <c r="W244" i="34" s="1"/>
  <c r="V243" i="34"/>
  <c r="W243" i="34" s="1"/>
  <c r="V241" i="34"/>
  <c r="W241" i="34" s="1"/>
  <c r="V240" i="34"/>
  <c r="W240" i="34" s="1"/>
  <c r="V291" i="34"/>
  <c r="W291" i="34" s="1"/>
  <c r="V281" i="34"/>
  <c r="W281" i="34" s="1"/>
  <c r="V274" i="34"/>
  <c r="W274" i="34" s="1"/>
  <c r="V273" i="34"/>
  <c r="W273" i="34" s="1"/>
  <c r="V272" i="34"/>
  <c r="W272" i="34" s="1"/>
  <c r="V270" i="34"/>
  <c r="W270" i="34" s="1"/>
  <c r="V258" i="34"/>
  <c r="W258" i="34" s="1"/>
  <c r="V254" i="34"/>
  <c r="W254" i="34" s="1"/>
  <c r="V296" i="34"/>
  <c r="V295" i="34"/>
  <c r="W295" i="34" s="1"/>
  <c r="V293" i="34"/>
  <c r="W293" i="34" s="1"/>
  <c r="V283" i="34"/>
  <c r="W283" i="34" s="1"/>
  <c r="V265" i="34"/>
  <c r="W265" i="34" s="1"/>
  <c r="V263" i="34"/>
  <c r="W263" i="34" s="1"/>
  <c r="V289" i="34"/>
  <c r="W289" i="34" s="1"/>
  <c r="V288" i="34"/>
  <c r="W288" i="34" s="1"/>
  <c r="V287" i="34"/>
  <c r="W287" i="34" s="1"/>
  <c r="V285" i="34"/>
  <c r="W285" i="34" s="1"/>
  <c r="V276" i="34"/>
  <c r="W276" i="34" s="1"/>
  <c r="V266" i="34"/>
  <c r="W266" i="34" s="1"/>
  <c r="V262" i="34"/>
  <c r="W262" i="34" s="1"/>
  <c r="V256" i="34"/>
  <c r="W256" i="34" s="1"/>
  <c r="V250" i="34"/>
  <c r="W250" i="34" s="1"/>
  <c r="V247" i="34"/>
  <c r="W247" i="34" s="1"/>
  <c r="V236" i="34"/>
  <c r="W236" i="34" s="1"/>
  <c r="V234" i="34"/>
  <c r="W234" i="34" s="1"/>
  <c r="V233" i="34"/>
  <c r="W233" i="34" s="1"/>
  <c r="V231" i="34"/>
  <c r="W231" i="34" s="1"/>
  <c r="V230" i="34"/>
  <c r="W230" i="34" s="1"/>
  <c r="V229" i="34"/>
  <c r="W229" i="34" s="1"/>
  <c r="V223" i="34"/>
  <c r="W223" i="34" s="1"/>
  <c r="V215" i="34"/>
  <c r="W215" i="34" s="1"/>
  <c r="V205" i="34"/>
  <c r="W205" i="34" s="1"/>
  <c r="V198" i="34"/>
  <c r="W198" i="34" s="1"/>
  <c r="V197" i="34"/>
  <c r="W197" i="34" s="1"/>
  <c r="V196" i="34"/>
  <c r="W196" i="34" s="1"/>
  <c r="V194" i="34"/>
  <c r="W194" i="34" s="1"/>
  <c r="V238" i="34"/>
  <c r="W238" i="34" s="1"/>
  <c r="V225" i="34"/>
  <c r="W225" i="34" s="1"/>
  <c r="V220" i="34"/>
  <c r="V219" i="34"/>
  <c r="W219" i="34" s="1"/>
  <c r="V217" i="34"/>
  <c r="W217" i="34" s="1"/>
  <c r="V227" i="34"/>
  <c r="W227" i="34" s="1"/>
  <c r="V221" i="34"/>
  <c r="W221" i="34" s="1"/>
  <c r="V248" i="34"/>
  <c r="W248" i="34" s="1"/>
  <c r="V204" i="34"/>
  <c r="W204" i="34" s="1"/>
  <c r="V202" i="34"/>
  <c r="W202" i="34" s="1"/>
  <c r="V192" i="34"/>
  <c r="W192" i="34" s="1"/>
  <c r="V183" i="34"/>
  <c r="W183" i="34" s="1"/>
  <c r="V182" i="34"/>
  <c r="W182" i="34" s="1"/>
  <c r="V181" i="34"/>
  <c r="W181" i="34" s="1"/>
  <c r="V190" i="34"/>
  <c r="W190" i="34" s="1"/>
  <c r="V179" i="34"/>
  <c r="W179" i="34" s="1"/>
  <c r="V167" i="34"/>
  <c r="W167" i="34" s="1"/>
  <c r="V211" i="34"/>
  <c r="W211" i="34" s="1"/>
  <c r="V207" i="34"/>
  <c r="W207" i="34" s="1"/>
  <c r="V185" i="34"/>
  <c r="W185" i="34" s="1"/>
  <c r="V174" i="34"/>
  <c r="W174" i="34" s="1"/>
  <c r="V172" i="34"/>
  <c r="W172" i="34" s="1"/>
  <c r="V212" i="34"/>
  <c r="W212" i="34" s="1"/>
  <c r="V200" i="34"/>
  <c r="W200" i="34" s="1"/>
  <c r="V189" i="34"/>
  <c r="W189" i="34" s="1"/>
  <c r="V175" i="34"/>
  <c r="W175" i="34" s="1"/>
  <c r="V171" i="34"/>
  <c r="W171" i="34" s="1"/>
  <c r="V154" i="34"/>
  <c r="W154" i="34" s="1"/>
  <c r="V153" i="34"/>
  <c r="W153" i="34" s="1"/>
  <c r="V152" i="34"/>
  <c r="W152" i="34" s="1"/>
  <c r="V150" i="34"/>
  <c r="W150" i="34" s="1"/>
  <c r="V149" i="34"/>
  <c r="W149" i="34" s="1"/>
  <c r="V144" i="34"/>
  <c r="W144" i="34" s="1"/>
  <c r="V213" i="34"/>
  <c r="W213" i="34" s="1"/>
  <c r="V209" i="34"/>
  <c r="W209" i="34" s="1"/>
  <c r="V187" i="34"/>
  <c r="W187" i="34" s="1"/>
  <c r="V177" i="34"/>
  <c r="W177" i="34" s="1"/>
  <c r="V169" i="34"/>
  <c r="W169" i="34" s="1"/>
  <c r="V165" i="34"/>
  <c r="W165" i="34" s="1"/>
  <c r="V161" i="34"/>
  <c r="W161" i="34" s="1"/>
  <c r="V157" i="34"/>
  <c r="W157" i="34" s="1"/>
  <c r="V133" i="34"/>
  <c r="W133" i="34" s="1"/>
  <c r="V110" i="34"/>
  <c r="W110" i="34" s="1"/>
  <c r="V108" i="34"/>
  <c r="W108" i="34" s="1"/>
  <c r="V94" i="34"/>
  <c r="W94" i="34" s="1"/>
  <c r="V93" i="34"/>
  <c r="W93" i="34" s="1"/>
  <c r="V92" i="34"/>
  <c r="W92" i="34" s="1"/>
  <c r="V90" i="34"/>
  <c r="W90" i="34" s="1"/>
  <c r="V89" i="34"/>
  <c r="W89" i="34" s="1"/>
  <c r="V159" i="34"/>
  <c r="W159" i="34" s="1"/>
  <c r="V156" i="34"/>
  <c r="W156" i="34" s="1"/>
  <c r="V147" i="34"/>
  <c r="W147" i="34" s="1"/>
  <c r="V126" i="34"/>
  <c r="V117" i="34"/>
  <c r="W117" i="34" s="1"/>
  <c r="V103" i="34"/>
  <c r="W103" i="34" s="1"/>
  <c r="V97" i="34"/>
  <c r="W97" i="34" s="1"/>
  <c r="V84" i="34"/>
  <c r="W84" i="34" s="1"/>
  <c r="V163" i="34"/>
  <c r="W163" i="34" s="1"/>
  <c r="V118" i="34"/>
  <c r="W118" i="34" s="1"/>
  <c r="V115" i="34"/>
  <c r="W115" i="34" s="1"/>
  <c r="V107" i="34"/>
  <c r="W107" i="34" s="1"/>
  <c r="V96" i="34"/>
  <c r="W96" i="34" s="1"/>
  <c r="V142" i="34"/>
  <c r="W142" i="34" s="1"/>
  <c r="V129" i="34"/>
  <c r="W129" i="34" s="1"/>
  <c r="V127" i="34"/>
  <c r="W127" i="34" s="1"/>
  <c r="V121" i="34"/>
  <c r="W121" i="34" s="1"/>
  <c r="V119" i="34"/>
  <c r="W119" i="34" s="1"/>
  <c r="V113" i="34"/>
  <c r="W113" i="34" s="1"/>
  <c r="V111" i="34"/>
  <c r="W111" i="34" s="1"/>
  <c r="V105" i="34"/>
  <c r="W105" i="34" s="1"/>
  <c r="V101" i="34"/>
  <c r="W101" i="34" s="1"/>
  <c r="V99" i="34"/>
  <c r="W99" i="34" s="1"/>
  <c r="V87" i="34"/>
  <c r="W87" i="34" s="1"/>
  <c r="V86" i="34"/>
  <c r="W86" i="34" s="1"/>
  <c r="V146" i="34"/>
  <c r="W146" i="34" s="1"/>
  <c r="V140" i="34"/>
  <c r="W140" i="34" s="1"/>
  <c r="V139" i="34"/>
  <c r="W139" i="34" s="1"/>
  <c r="V137" i="34"/>
  <c r="W137" i="34" s="1"/>
  <c r="V136" i="34"/>
  <c r="W136" i="34" s="1"/>
  <c r="V135" i="34"/>
  <c r="W135" i="34" s="1"/>
  <c r="V131" i="34"/>
  <c r="W131" i="34" s="1"/>
  <c r="V125" i="34"/>
  <c r="W125" i="34" s="1"/>
  <c r="V123" i="34"/>
  <c r="W123" i="34" s="1"/>
  <c r="V82" i="34"/>
  <c r="W82" i="34" s="1"/>
  <c r="V80" i="34"/>
  <c r="W80" i="34" s="1"/>
  <c r="V79" i="34"/>
  <c r="W79" i="34" s="1"/>
  <c r="V77" i="34"/>
  <c r="W77" i="34" s="1"/>
  <c r="V76" i="34"/>
  <c r="W76" i="34" s="1"/>
  <c r="V75" i="34"/>
  <c r="W75" i="34" s="1"/>
  <c r="V69" i="34"/>
  <c r="W69" i="34" s="1"/>
  <c r="V59" i="34"/>
  <c r="W59" i="34" s="1"/>
  <c r="V58" i="34"/>
  <c r="W58" i="34" s="1"/>
  <c r="V57" i="34"/>
  <c r="W57" i="34" s="1"/>
  <c r="V49" i="34"/>
  <c r="W49" i="34" s="1"/>
  <c r="V39" i="34"/>
  <c r="W39" i="34" s="1"/>
  <c r="V29" i="34"/>
  <c r="W29" i="34" s="1"/>
  <c r="V23" i="34"/>
  <c r="W23" i="34" s="1"/>
  <c r="V73" i="34"/>
  <c r="W73" i="34" s="1"/>
  <c r="V71" i="34"/>
  <c r="W71" i="34" s="1"/>
  <c r="V65" i="34"/>
  <c r="W65" i="34" s="1"/>
  <c r="V53" i="34"/>
  <c r="W53" i="34" s="1"/>
  <c r="V47" i="34"/>
  <c r="W47" i="34" s="1"/>
  <c r="V33" i="34"/>
  <c r="W33" i="34" s="1"/>
  <c r="V21" i="34"/>
  <c r="W21" i="34" s="1"/>
  <c r="V64" i="34"/>
  <c r="W64" i="34" s="1"/>
  <c r="V62" i="34"/>
  <c r="W62" i="34" s="1"/>
  <c r="V61" i="34"/>
  <c r="W61" i="34" s="1"/>
  <c r="V43" i="34"/>
  <c r="W43" i="34" s="1"/>
  <c r="V41" i="34"/>
  <c r="W41" i="34" s="1"/>
  <c r="V37" i="34"/>
  <c r="W37" i="34" s="1"/>
  <c r="V35" i="34"/>
  <c r="W35" i="34" s="1"/>
  <c r="V31" i="34"/>
  <c r="W31" i="34" s="1"/>
  <c r="V67" i="34"/>
  <c r="W67" i="34" s="1"/>
  <c r="V55" i="34"/>
  <c r="W55" i="34" s="1"/>
  <c r="V51" i="34"/>
  <c r="W51" i="34" s="1"/>
  <c r="V45" i="34"/>
  <c r="W45" i="34" s="1"/>
  <c r="V25" i="34"/>
  <c r="W25" i="34" s="1"/>
  <c r="V52" i="34"/>
  <c r="W52" i="34" s="1"/>
  <c r="V46" i="34"/>
  <c r="W46" i="34" s="1"/>
  <c r="V27" i="34"/>
  <c r="W27" i="34" s="1"/>
  <c r="R240" i="34" l="1"/>
  <c r="U239" i="34" s="1"/>
  <c r="R149" i="34"/>
  <c r="U148" i="34" s="1"/>
  <c r="R89" i="34"/>
  <c r="U88" i="34" s="1"/>
  <c r="R243" i="34"/>
  <c r="U242" i="34" s="1"/>
  <c r="V34" i="34"/>
  <c r="W34" i="34" s="1"/>
  <c r="V178" i="34"/>
  <c r="W178" i="34" s="1"/>
  <c r="R96" i="34"/>
  <c r="U95" i="34" s="1"/>
  <c r="R229" i="34"/>
  <c r="U228" i="34" s="1"/>
  <c r="R206" i="34"/>
  <c r="S206" i="34" s="1"/>
  <c r="R51" i="34"/>
  <c r="U50" i="34" s="1"/>
  <c r="V284" i="34"/>
  <c r="W284" i="34" s="1"/>
  <c r="V269" i="34"/>
  <c r="W269" i="34" s="1"/>
  <c r="R86" i="34"/>
  <c r="U85" i="34" s="1"/>
  <c r="R79" i="34"/>
  <c r="U78" i="34" s="1"/>
  <c r="V26" i="34"/>
  <c r="W26" i="34" s="1"/>
  <c r="V193" i="34"/>
  <c r="W193" i="34" s="1"/>
  <c r="V40" i="34"/>
  <c r="W40" i="34" s="1"/>
  <c r="V114" i="34"/>
  <c r="W114" i="34" s="1"/>
  <c r="V208" i="34"/>
  <c r="W208" i="34" s="1"/>
  <c r="R152" i="34"/>
  <c r="U151" i="34" s="1"/>
  <c r="R259" i="34"/>
  <c r="S259" i="34" s="1"/>
  <c r="R155" i="34"/>
  <c r="R239" i="34"/>
  <c r="R151" i="34"/>
  <c r="R271" i="34"/>
  <c r="R104" i="34"/>
  <c r="S104" i="34" s="1"/>
  <c r="R210" i="34"/>
  <c r="R116" i="34"/>
  <c r="R22" i="34"/>
  <c r="S22" i="34" s="1"/>
  <c r="R128" i="34"/>
  <c r="S128" i="34" s="1"/>
  <c r="R28" i="34"/>
  <c r="S28" i="34" s="1"/>
  <c r="R44" i="34"/>
  <c r="R38" i="34"/>
  <c r="S38" i="34" s="1"/>
  <c r="R63" i="34"/>
  <c r="R100" i="34"/>
  <c r="S100" i="34" s="1"/>
  <c r="R134" i="34"/>
  <c r="R148" i="34"/>
  <c r="R102" i="34"/>
  <c r="S102" i="34" s="1"/>
  <c r="R203" i="34"/>
  <c r="S203" i="34" s="1"/>
  <c r="R184" i="34"/>
  <c r="R199" i="34"/>
  <c r="R237" i="34"/>
  <c r="S237" i="34" s="1"/>
  <c r="R253" i="34"/>
  <c r="S253" i="34" s="1"/>
  <c r="R255" i="34"/>
  <c r="S255" i="34" s="1"/>
  <c r="R107" i="34"/>
  <c r="U106" i="34" s="1"/>
  <c r="R247" i="34"/>
  <c r="U246" i="34" s="1"/>
  <c r="R75" i="34"/>
  <c r="U74" i="34" s="1"/>
  <c r="R61" i="34"/>
  <c r="U60" i="34" s="1"/>
  <c r="R92" i="34"/>
  <c r="U91" i="34" s="1"/>
  <c r="S81" i="34"/>
  <c r="U81" i="34"/>
  <c r="U120" i="34"/>
  <c r="R121" i="34"/>
  <c r="R185" i="34"/>
  <c r="U184" i="34"/>
  <c r="R196" i="34"/>
  <c r="U195" i="34"/>
  <c r="R181" i="34"/>
  <c r="U180" i="34"/>
  <c r="S235" i="34"/>
  <c r="U235" i="34"/>
  <c r="R261" i="34"/>
  <c r="R145" i="34"/>
  <c r="R264" i="34"/>
  <c r="S264" i="34" s="1"/>
  <c r="R95" i="34"/>
  <c r="R158" i="34"/>
  <c r="S158" i="34" s="1"/>
  <c r="R282" i="34"/>
  <c r="S282" i="34" s="1"/>
  <c r="R138" i="34"/>
  <c r="R32" i="34"/>
  <c r="S32" i="34" s="1"/>
  <c r="R50" i="34"/>
  <c r="R48" i="34"/>
  <c r="S48" i="34" s="1"/>
  <c r="R74" i="34"/>
  <c r="R120" i="34"/>
  <c r="R160" i="34"/>
  <c r="S160" i="34" s="1"/>
  <c r="R91" i="34"/>
  <c r="R124" i="34"/>
  <c r="S124" i="34" s="1"/>
  <c r="R162" i="34"/>
  <c r="S162" i="34" s="1"/>
  <c r="R214" i="34"/>
  <c r="R191" i="34"/>
  <c r="S191" i="34" s="1"/>
  <c r="R218" i="34"/>
  <c r="S218" i="34" s="1"/>
  <c r="R228" i="34"/>
  <c r="R292" i="34"/>
  <c r="S292" i="34" s="1"/>
  <c r="R279" i="34"/>
  <c r="S279" i="34" s="1"/>
  <c r="R275" i="34"/>
  <c r="R57" i="34"/>
  <c r="U56" i="34" s="1"/>
  <c r="R64" i="34"/>
  <c r="U63" i="34" s="1"/>
  <c r="R135" i="34"/>
  <c r="U134" i="34" s="1"/>
  <c r="R272" i="34"/>
  <c r="U271" i="34"/>
  <c r="R262" i="34"/>
  <c r="U261" i="34" s="1"/>
  <c r="R224" i="34"/>
  <c r="S224" i="34" s="1"/>
  <c r="R180" i="34"/>
  <c r="R106" i="34"/>
  <c r="R246" i="34"/>
  <c r="S246" i="34" s="1"/>
  <c r="R98" i="34"/>
  <c r="S98" i="34" s="1"/>
  <c r="R112" i="34"/>
  <c r="S112" i="34" s="1"/>
  <c r="R85" i="34"/>
  <c r="R226" i="34"/>
  <c r="S226" i="34" s="1"/>
  <c r="R70" i="34"/>
  <c r="S70" i="34" s="1"/>
  <c r="R36" i="34"/>
  <c r="S36" i="34" s="1"/>
  <c r="R68" i="34"/>
  <c r="S68" i="34" s="1"/>
  <c r="R56" i="34"/>
  <c r="R54" i="34"/>
  <c r="S54" i="34" s="1"/>
  <c r="R122" i="34"/>
  <c r="S122" i="34" s="1"/>
  <c r="R83" i="34"/>
  <c r="S83" i="34" s="1"/>
  <c r="R109" i="34"/>
  <c r="S109" i="34" s="1"/>
  <c r="R143" i="34"/>
  <c r="S143" i="34" s="1"/>
  <c r="R166" i="34"/>
  <c r="S166" i="34" s="1"/>
  <c r="R176" i="34"/>
  <c r="S176" i="34" s="1"/>
  <c r="R164" i="34"/>
  <c r="S164" i="34" s="1"/>
  <c r="R216" i="34"/>
  <c r="S216" i="34" s="1"/>
  <c r="R201" i="34"/>
  <c r="S201" i="34" s="1"/>
  <c r="R257" i="34"/>
  <c r="S257" i="34" s="1"/>
  <c r="R290" i="34"/>
  <c r="R286" i="34"/>
  <c r="S141" i="34"/>
  <c r="U141" i="34"/>
  <c r="R139" i="34"/>
  <c r="U138" i="34" s="1"/>
  <c r="R146" i="34"/>
  <c r="U145" i="34" s="1"/>
  <c r="U214" i="34"/>
  <c r="R215" i="34"/>
  <c r="R200" i="34"/>
  <c r="U199" i="34"/>
  <c r="U290" i="34"/>
  <c r="R291" i="34"/>
  <c r="R276" i="34"/>
  <c r="U275" i="34"/>
  <c r="R242" i="34"/>
  <c r="S242" i="34" s="1"/>
  <c r="R173" i="34"/>
  <c r="S173" i="34" s="1"/>
  <c r="R30" i="34"/>
  <c r="S30" i="34" s="1"/>
  <c r="R249" i="34"/>
  <c r="S249" i="34" s="1"/>
  <c r="R232" i="34"/>
  <c r="R168" i="34"/>
  <c r="S168" i="34" s="1"/>
  <c r="R72" i="34"/>
  <c r="S72" i="34" s="1"/>
  <c r="R170" i="34"/>
  <c r="R24" i="34"/>
  <c r="S24" i="34" s="1"/>
  <c r="R42" i="34"/>
  <c r="S42" i="34" s="1"/>
  <c r="R78" i="34"/>
  <c r="R60" i="34"/>
  <c r="R66" i="34"/>
  <c r="S66" i="34" s="1"/>
  <c r="R132" i="34"/>
  <c r="S132" i="34" s="1"/>
  <c r="R88" i="34"/>
  <c r="R130" i="34"/>
  <c r="S130" i="34" s="1"/>
  <c r="R195" i="34"/>
  <c r="S195" i="34" s="1"/>
  <c r="R186" i="34"/>
  <c r="S186" i="34" s="1"/>
  <c r="R188" i="34"/>
  <c r="S188" i="34" s="1"/>
  <c r="R222" i="34"/>
  <c r="S222" i="34" s="1"/>
  <c r="R251" i="34"/>
  <c r="S251" i="34" s="1"/>
  <c r="R267" i="34"/>
  <c r="S267" i="34" s="1"/>
  <c r="R277" i="34"/>
  <c r="S277" i="34" s="1"/>
  <c r="R294" i="34"/>
  <c r="S294" i="34" s="1"/>
  <c r="R156" i="34"/>
  <c r="U155" i="34" s="1"/>
  <c r="R45" i="34"/>
  <c r="U44" i="34" s="1"/>
  <c r="R117" i="34"/>
  <c r="U116" i="34"/>
  <c r="R171" i="34"/>
  <c r="U170" i="34" s="1"/>
  <c r="R233" i="34"/>
  <c r="U232" i="34" s="1"/>
  <c r="R211" i="34"/>
  <c r="U210" i="34"/>
  <c r="R287" i="34"/>
  <c r="U286" i="34"/>
  <c r="AC6" i="6"/>
  <c r="S106" i="34" l="1"/>
  <c r="T106" i="34" s="1"/>
  <c r="S239" i="34"/>
  <c r="T239" i="34" s="1"/>
  <c r="S148" i="34"/>
  <c r="T148" i="34" s="1"/>
  <c r="S228" i="34"/>
  <c r="T228" i="34" s="1"/>
  <c r="S88" i="34"/>
  <c r="V88" i="34" s="1"/>
  <c r="W88" i="34" s="1"/>
  <c r="S95" i="34"/>
  <c r="T95" i="34" s="1"/>
  <c r="S50" i="34"/>
  <c r="T50" i="34" s="1"/>
  <c r="S151" i="34"/>
  <c r="T151" i="34" s="1"/>
  <c r="S91" i="34"/>
  <c r="T91" i="34" s="1"/>
  <c r="S60" i="34"/>
  <c r="T60" i="34" s="1"/>
  <c r="S78" i="34"/>
  <c r="V78" i="34" s="1"/>
  <c r="W78" i="34" s="1"/>
  <c r="S85" i="34"/>
  <c r="V85" i="34" s="1"/>
  <c r="W85" i="34" s="1"/>
  <c r="S120" i="34"/>
  <c r="T120" i="34" s="1"/>
  <c r="T206" i="34"/>
  <c r="V206" i="34"/>
  <c r="W206" i="34" s="1"/>
  <c r="U126" i="34"/>
  <c r="S180" i="34"/>
  <c r="V180" i="34" s="1"/>
  <c r="W180" i="34" s="1"/>
  <c r="S170" i="34"/>
  <c r="T170" i="34" s="1"/>
  <c r="T166" i="34"/>
  <c r="V166" i="34"/>
  <c r="W166" i="34" s="1"/>
  <c r="T122" i="34"/>
  <c r="V122" i="34"/>
  <c r="W122" i="34" s="1"/>
  <c r="T112" i="34"/>
  <c r="V112" i="34"/>
  <c r="W112" i="34" s="1"/>
  <c r="T251" i="34"/>
  <c r="V251" i="34"/>
  <c r="W251" i="34" s="1"/>
  <c r="T195" i="34"/>
  <c r="V195" i="34"/>
  <c r="W195" i="34" s="1"/>
  <c r="T66" i="34"/>
  <c r="V66" i="34"/>
  <c r="W66" i="34" s="1"/>
  <c r="T24" i="34"/>
  <c r="V24" i="34"/>
  <c r="W24" i="34" s="1"/>
  <c r="S232" i="34"/>
  <c r="T242" i="34"/>
  <c r="V242" i="34"/>
  <c r="W242" i="34" s="1"/>
  <c r="T257" i="34"/>
  <c r="V257" i="34"/>
  <c r="W257" i="34" s="1"/>
  <c r="T176" i="34"/>
  <c r="V176" i="34"/>
  <c r="W176" i="34" s="1"/>
  <c r="T83" i="34"/>
  <c r="V83" i="34"/>
  <c r="W83" i="34" s="1"/>
  <c r="T68" i="34"/>
  <c r="V68" i="34"/>
  <c r="W68" i="34" s="1"/>
  <c r="T85" i="34"/>
  <c r="T292" i="34"/>
  <c r="V292" i="34"/>
  <c r="W292" i="34" s="1"/>
  <c r="S214" i="34"/>
  <c r="T160" i="34"/>
  <c r="V160" i="34"/>
  <c r="W160" i="34" s="1"/>
  <c r="T158" i="34"/>
  <c r="V158" i="34"/>
  <c r="W158" i="34" s="1"/>
  <c r="S261" i="34"/>
  <c r="T235" i="34"/>
  <c r="V235" i="34"/>
  <c r="W235" i="34" s="1"/>
  <c r="T255" i="34"/>
  <c r="V255" i="34"/>
  <c r="W255" i="34" s="1"/>
  <c r="S184" i="34"/>
  <c r="S134" i="34"/>
  <c r="S44" i="34"/>
  <c r="S116" i="34"/>
  <c r="T130" i="34"/>
  <c r="V130" i="34"/>
  <c r="W130" i="34" s="1"/>
  <c r="T36" i="34"/>
  <c r="V36" i="34"/>
  <c r="W36" i="34" s="1"/>
  <c r="T32" i="34"/>
  <c r="V32" i="34"/>
  <c r="W32" i="34" s="1"/>
  <c r="T253" i="34"/>
  <c r="V253" i="34"/>
  <c r="W253" i="34" s="1"/>
  <c r="T203" i="34"/>
  <c r="V203" i="34"/>
  <c r="W203" i="34" s="1"/>
  <c r="T100" i="34"/>
  <c r="V100" i="34"/>
  <c r="W100" i="34" s="1"/>
  <c r="T28" i="34"/>
  <c r="V28" i="34"/>
  <c r="W28" i="34" s="1"/>
  <c r="S210" i="34"/>
  <c r="T294" i="34"/>
  <c r="V294" i="34"/>
  <c r="W294" i="34" s="1"/>
  <c r="T141" i="34"/>
  <c r="V141" i="34"/>
  <c r="W141" i="34" s="1"/>
  <c r="T162" i="34"/>
  <c r="V162" i="34"/>
  <c r="W162" i="34" s="1"/>
  <c r="T277" i="34"/>
  <c r="V277" i="34"/>
  <c r="W277" i="34" s="1"/>
  <c r="T188" i="34"/>
  <c r="V188" i="34"/>
  <c r="W188" i="34" s="1"/>
  <c r="T72" i="34"/>
  <c r="V72" i="34"/>
  <c r="W72" i="34" s="1"/>
  <c r="T30" i="34"/>
  <c r="V30" i="34"/>
  <c r="W30" i="34" s="1"/>
  <c r="S286" i="34"/>
  <c r="T216" i="34"/>
  <c r="V216" i="34"/>
  <c r="W216" i="34" s="1"/>
  <c r="T143" i="34"/>
  <c r="V143" i="34"/>
  <c r="W143" i="34" s="1"/>
  <c r="T54" i="34"/>
  <c r="V54" i="34"/>
  <c r="W54" i="34" s="1"/>
  <c r="T70" i="34"/>
  <c r="V70" i="34"/>
  <c r="W70" i="34" s="1"/>
  <c r="T98" i="34"/>
  <c r="V98" i="34"/>
  <c r="W98" i="34" s="1"/>
  <c r="T224" i="34"/>
  <c r="V224" i="34"/>
  <c r="W224" i="34" s="1"/>
  <c r="S275" i="34"/>
  <c r="T218" i="34"/>
  <c r="V218" i="34"/>
  <c r="W218" i="34" s="1"/>
  <c r="T124" i="34"/>
  <c r="V124" i="34"/>
  <c r="W124" i="34" s="1"/>
  <c r="S74" i="34"/>
  <c r="S138" i="34"/>
  <c r="T264" i="34"/>
  <c r="V264" i="34"/>
  <c r="W264" i="34" s="1"/>
  <c r="T81" i="34"/>
  <c r="V81" i="34"/>
  <c r="W81" i="34" s="1"/>
  <c r="T237" i="34"/>
  <c r="V237" i="34"/>
  <c r="W237" i="34" s="1"/>
  <c r="T102" i="34"/>
  <c r="V102" i="34"/>
  <c r="W102" i="34" s="1"/>
  <c r="S63" i="34"/>
  <c r="T128" i="34"/>
  <c r="V128" i="34"/>
  <c r="W128" i="34" s="1"/>
  <c r="T104" i="34"/>
  <c r="V104" i="34"/>
  <c r="W104" i="34" s="1"/>
  <c r="S155" i="34"/>
  <c r="T222" i="34"/>
  <c r="V222" i="34"/>
  <c r="W222" i="34" s="1"/>
  <c r="T249" i="34"/>
  <c r="V249" i="34"/>
  <c r="W249" i="34" s="1"/>
  <c r="T201" i="34"/>
  <c r="V201" i="34"/>
  <c r="W201" i="34" s="1"/>
  <c r="T267" i="34"/>
  <c r="V267" i="34"/>
  <c r="W267" i="34" s="1"/>
  <c r="T186" i="34"/>
  <c r="V186" i="34"/>
  <c r="W186" i="34" s="1"/>
  <c r="T132" i="34"/>
  <c r="V132" i="34"/>
  <c r="W132" i="34" s="1"/>
  <c r="T42" i="34"/>
  <c r="V42" i="34"/>
  <c r="W42" i="34" s="1"/>
  <c r="T168" i="34"/>
  <c r="V168" i="34"/>
  <c r="W168" i="34" s="1"/>
  <c r="T173" i="34"/>
  <c r="V173" i="34"/>
  <c r="W173" i="34" s="1"/>
  <c r="S290" i="34"/>
  <c r="T164" i="34"/>
  <c r="V164" i="34"/>
  <c r="W164" i="34" s="1"/>
  <c r="T109" i="34"/>
  <c r="V109" i="34"/>
  <c r="W109" i="34" s="1"/>
  <c r="S56" i="34"/>
  <c r="T226" i="34"/>
  <c r="V226" i="34"/>
  <c r="W226" i="34" s="1"/>
  <c r="T246" i="34"/>
  <c r="V246" i="34"/>
  <c r="W246" i="34" s="1"/>
  <c r="T279" i="34"/>
  <c r="V279" i="34"/>
  <c r="W279" i="34" s="1"/>
  <c r="T191" i="34"/>
  <c r="V191" i="34"/>
  <c r="W191" i="34" s="1"/>
  <c r="T48" i="34"/>
  <c r="V48" i="34"/>
  <c r="W48" i="34" s="1"/>
  <c r="T282" i="34"/>
  <c r="V282" i="34"/>
  <c r="W282" i="34" s="1"/>
  <c r="S145" i="34"/>
  <c r="S199" i="34"/>
  <c r="T38" i="34"/>
  <c r="V38" i="34"/>
  <c r="W38" i="34" s="1"/>
  <c r="T22" i="34"/>
  <c r="V22" i="34"/>
  <c r="W22" i="34" s="1"/>
  <c r="S271" i="34"/>
  <c r="T259" i="34"/>
  <c r="V259" i="34"/>
  <c r="W259" i="34" s="1"/>
  <c r="Q13" i="33"/>
  <c r="N11" i="33"/>
  <c r="J13" i="33"/>
  <c r="D11" i="33"/>
  <c r="F79" i="33" l="1"/>
  <c r="F65" i="33"/>
  <c r="F69" i="33"/>
  <c r="F42" i="33"/>
  <c r="F83" i="33"/>
  <c r="F59" i="33"/>
  <c r="F99" i="33"/>
  <c r="F50" i="33"/>
  <c r="F77" i="33"/>
  <c r="F121" i="33"/>
  <c r="F110" i="33"/>
  <c r="F103" i="33"/>
  <c r="F55" i="33"/>
  <c r="F28" i="33"/>
  <c r="R27" i="33" s="1"/>
  <c r="S27" i="33" s="1"/>
  <c r="T27" i="33" s="1"/>
  <c r="F127" i="33"/>
  <c r="F116" i="33"/>
  <c r="F107" i="33"/>
  <c r="F97" i="33"/>
  <c r="F89" i="33"/>
  <c r="F67" i="33"/>
  <c r="F101" i="33"/>
  <c r="F81" i="33"/>
  <c r="F32" i="33"/>
  <c r="F124" i="33"/>
  <c r="F73" i="33"/>
  <c r="F75" i="33"/>
  <c r="F30" i="33"/>
  <c r="R29" i="33" s="1"/>
  <c r="S29" i="33" s="1"/>
  <c r="T29" i="33" s="1"/>
  <c r="F48" i="33"/>
  <c r="F85" i="33"/>
  <c r="F38" i="33"/>
  <c r="F63" i="33"/>
  <c r="F24" i="33"/>
  <c r="F87" i="33"/>
  <c r="F93" i="33"/>
  <c r="F40" i="33"/>
  <c r="F36" i="33"/>
  <c r="F34" i="33"/>
  <c r="F105" i="33"/>
  <c r="F91" i="33"/>
  <c r="F95" i="33"/>
  <c r="Q81" i="33"/>
  <c r="R81" i="33" s="1"/>
  <c r="U80" i="33" s="1"/>
  <c r="Q73" i="33"/>
  <c r="R73" i="33" s="1"/>
  <c r="U72" i="33" s="1"/>
  <c r="Q61" i="33"/>
  <c r="Q107" i="33"/>
  <c r="R107" i="33" s="1"/>
  <c r="U106" i="33" s="1"/>
  <c r="Q97" i="33"/>
  <c r="R97" i="33" s="1"/>
  <c r="U96" i="33" s="1"/>
  <c r="Q57" i="33"/>
  <c r="R57" i="33" s="1"/>
  <c r="U56" i="33" s="1"/>
  <c r="Q121" i="33"/>
  <c r="Q110" i="33"/>
  <c r="Q103" i="33"/>
  <c r="R103" i="33" s="1"/>
  <c r="U102" i="33" s="1"/>
  <c r="Q127" i="33"/>
  <c r="Q116" i="33"/>
  <c r="Q89" i="33"/>
  <c r="R89" i="33" s="1"/>
  <c r="U88" i="33" s="1"/>
  <c r="Q112" i="33"/>
  <c r="Q70" i="33"/>
  <c r="Q118" i="33"/>
  <c r="Q114" i="33"/>
  <c r="R114" i="33" s="1"/>
  <c r="Q105" i="33"/>
  <c r="R105" i="33" s="1"/>
  <c r="U104" i="33" s="1"/>
  <c r="Q87" i="33"/>
  <c r="R87" i="33" s="1"/>
  <c r="U86" i="33" s="1"/>
  <c r="Q79" i="33"/>
  <c r="R79" i="33" s="1"/>
  <c r="U78" i="33" s="1"/>
  <c r="Q111" i="33"/>
  <c r="Q75" i="33"/>
  <c r="R75" i="33" s="1"/>
  <c r="U74" i="33" s="1"/>
  <c r="Q91" i="33"/>
  <c r="R91" i="33" s="1"/>
  <c r="U90" i="33" s="1"/>
  <c r="Q99" i="33"/>
  <c r="R99" i="33" s="1"/>
  <c r="U98" i="33" s="1"/>
  <c r="Q83" i="33"/>
  <c r="R83" i="33" s="1"/>
  <c r="U82" i="33" s="1"/>
  <c r="Q77" i="33"/>
  <c r="R77" i="33" s="1"/>
  <c r="U76" i="33" s="1"/>
  <c r="Q42" i="33"/>
  <c r="Q119" i="33"/>
  <c r="Q122" i="33"/>
  <c r="Q117" i="33"/>
  <c r="Q128" i="33"/>
  <c r="Q69" i="33"/>
  <c r="Q101" i="33"/>
  <c r="R101" i="33" s="1"/>
  <c r="U100" i="33" s="1"/>
  <c r="Q59" i="33"/>
  <c r="Q125" i="33"/>
  <c r="Q60" i="33"/>
  <c r="Q67" i="33"/>
  <c r="R67" i="33" s="1"/>
  <c r="U66" i="33" s="1"/>
  <c r="Q93" i="33"/>
  <c r="R93" i="33" s="1"/>
  <c r="U92" i="33" s="1"/>
  <c r="Q95" i="33"/>
  <c r="R95" i="33" s="1"/>
  <c r="U94" i="33" s="1"/>
  <c r="Q124" i="33"/>
  <c r="Q71" i="33"/>
  <c r="Q65" i="33"/>
  <c r="R65" i="33" s="1"/>
  <c r="U64" i="33" s="1"/>
  <c r="Q85" i="33"/>
  <c r="R85" i="33" s="1"/>
  <c r="U84" i="33" s="1"/>
  <c r="I83" i="33"/>
  <c r="I59" i="33"/>
  <c r="I36" i="33"/>
  <c r="I81" i="33"/>
  <c r="I73" i="33"/>
  <c r="I121" i="33"/>
  <c r="I69" i="33"/>
  <c r="I42" i="33"/>
  <c r="I116" i="33"/>
  <c r="I107" i="33"/>
  <c r="I97" i="33"/>
  <c r="I89" i="33"/>
  <c r="I67" i="33"/>
  <c r="I103" i="33"/>
  <c r="I32" i="33"/>
  <c r="I110" i="33"/>
  <c r="I105" i="33"/>
  <c r="I85" i="33"/>
  <c r="I65" i="33"/>
  <c r="I34" i="33"/>
  <c r="I63" i="33"/>
  <c r="I101" i="33"/>
  <c r="I79" i="33"/>
  <c r="I87" i="33"/>
  <c r="I52" i="33"/>
  <c r="R51" i="33" s="1"/>
  <c r="S51" i="33" s="1"/>
  <c r="T51" i="33" s="1"/>
  <c r="I95" i="33"/>
  <c r="I55" i="33"/>
  <c r="I46" i="33"/>
  <c r="R45" i="33" s="1"/>
  <c r="S45" i="33" s="1"/>
  <c r="T45" i="33" s="1"/>
  <c r="I40" i="33"/>
  <c r="I93" i="33"/>
  <c r="I50" i="33"/>
  <c r="I24" i="33"/>
  <c r="I48" i="33"/>
  <c r="I99" i="33"/>
  <c r="I124" i="33"/>
  <c r="I75" i="33"/>
  <c r="I38" i="33"/>
  <c r="I91" i="33"/>
  <c r="I127" i="33"/>
  <c r="I77" i="33"/>
  <c r="I44" i="33"/>
  <c r="R43" i="33" s="1"/>
  <c r="S43" i="33" s="1"/>
  <c r="T43" i="33" s="1"/>
  <c r="V148" i="34"/>
  <c r="W148" i="34" s="1"/>
  <c r="V106" i="34"/>
  <c r="W106" i="34" s="1"/>
  <c r="V239" i="34"/>
  <c r="W239" i="34" s="1"/>
  <c r="T88" i="34"/>
  <c r="V228" i="34"/>
  <c r="W228" i="34" s="1"/>
  <c r="V95" i="34"/>
  <c r="W95" i="34" s="1"/>
  <c r="V151" i="34"/>
  <c r="W151" i="34" s="1"/>
  <c r="V60" i="34"/>
  <c r="W60" i="34" s="1"/>
  <c r="V170" i="34"/>
  <c r="W170" i="34" s="1"/>
  <c r="V50" i="34"/>
  <c r="W50" i="34" s="1"/>
  <c r="V91" i="34"/>
  <c r="W91" i="34" s="1"/>
  <c r="T78" i="34"/>
  <c r="V120" i="34"/>
  <c r="W120" i="34" s="1"/>
  <c r="T180" i="34"/>
  <c r="T155" i="34"/>
  <c r="V155" i="34"/>
  <c r="W155" i="34" s="1"/>
  <c r="T275" i="34"/>
  <c r="V275" i="34"/>
  <c r="W275" i="34" s="1"/>
  <c r="U296" i="34"/>
  <c r="T210" i="34"/>
  <c r="V210" i="34"/>
  <c r="W210" i="34" s="1"/>
  <c r="T44" i="34"/>
  <c r="V44" i="34"/>
  <c r="W44" i="34" s="1"/>
  <c r="T286" i="34"/>
  <c r="V286" i="34"/>
  <c r="W286" i="34" s="1"/>
  <c r="T134" i="34"/>
  <c r="V134" i="34"/>
  <c r="W134" i="34" s="1"/>
  <c r="T199" i="34"/>
  <c r="V199" i="34"/>
  <c r="W199" i="34" s="1"/>
  <c r="T56" i="34"/>
  <c r="V56" i="34"/>
  <c r="W56" i="34" s="1"/>
  <c r="T138" i="34"/>
  <c r="V138" i="34"/>
  <c r="W138" i="34" s="1"/>
  <c r="T184" i="34"/>
  <c r="V184" i="34"/>
  <c r="W184" i="34" s="1"/>
  <c r="T214" i="34"/>
  <c r="V214" i="34"/>
  <c r="W214" i="34" s="1"/>
  <c r="T63" i="34"/>
  <c r="V63" i="34"/>
  <c r="W63" i="34" s="1"/>
  <c r="T271" i="34"/>
  <c r="V271" i="34"/>
  <c r="W271" i="34" s="1"/>
  <c r="T145" i="34"/>
  <c r="V145" i="34"/>
  <c r="W145" i="34" s="1"/>
  <c r="T290" i="34"/>
  <c r="V290" i="34"/>
  <c r="W290" i="34" s="1"/>
  <c r="T74" i="34"/>
  <c r="V74" i="34"/>
  <c r="W74" i="34" s="1"/>
  <c r="T116" i="34"/>
  <c r="V116" i="34"/>
  <c r="W116" i="34" s="1"/>
  <c r="T261" i="34"/>
  <c r="V261" i="34"/>
  <c r="W261" i="34" s="1"/>
  <c r="T232" i="34"/>
  <c r="V232" i="34"/>
  <c r="W232" i="34" s="1"/>
  <c r="R37" i="33" l="1"/>
  <c r="S37" i="33" s="1"/>
  <c r="T37" i="33" s="1"/>
  <c r="R31" i="33"/>
  <c r="S31" i="33" s="1"/>
  <c r="T31" i="33" s="1"/>
  <c r="R126" i="33"/>
  <c r="R98" i="33"/>
  <c r="S98" i="33" s="1"/>
  <c r="T98" i="33" s="1"/>
  <c r="R94" i="33"/>
  <c r="S94" i="33" s="1"/>
  <c r="T94" i="33" s="1"/>
  <c r="R86" i="33"/>
  <c r="S86" i="33" s="1"/>
  <c r="T86" i="33" s="1"/>
  <c r="R96" i="33"/>
  <c r="S96" i="33" s="1"/>
  <c r="T96" i="33" s="1"/>
  <c r="R64" i="33"/>
  <c r="S64" i="33" s="1"/>
  <c r="T64" i="33" s="1"/>
  <c r="R59" i="33"/>
  <c r="U58" i="33" s="1"/>
  <c r="R104" i="33"/>
  <c r="S104" i="33" s="1"/>
  <c r="T104" i="33" s="1"/>
  <c r="R62" i="33"/>
  <c r="S62" i="33" s="1"/>
  <c r="T62" i="33" s="1"/>
  <c r="R123" i="33"/>
  <c r="R115" i="33"/>
  <c r="R49" i="33"/>
  <c r="S49" i="33" s="1"/>
  <c r="T49" i="33" s="1"/>
  <c r="S126" i="33"/>
  <c r="T126" i="33" s="1"/>
  <c r="R35" i="33"/>
  <c r="S35" i="33" s="1"/>
  <c r="T35" i="33" s="1"/>
  <c r="R84" i="33"/>
  <c r="S84" i="33" s="1"/>
  <c r="T84" i="33" s="1"/>
  <c r="R80" i="33"/>
  <c r="S80" i="33" s="1"/>
  <c r="T80" i="33" s="1"/>
  <c r="R58" i="33"/>
  <c r="S58" i="33" s="1"/>
  <c r="T58" i="33" s="1"/>
  <c r="R33" i="33"/>
  <c r="S33" i="33" s="1"/>
  <c r="T33" i="33" s="1"/>
  <c r="R116" i="33"/>
  <c r="U115" i="33" s="1"/>
  <c r="R25" i="33"/>
  <c r="S25" i="33" s="1"/>
  <c r="T25" i="33" s="1"/>
  <c r="R47" i="33"/>
  <c r="S47" i="33" s="1"/>
  <c r="T47" i="33" s="1"/>
  <c r="R100" i="33"/>
  <c r="S100" i="33" s="1"/>
  <c r="T100" i="33" s="1"/>
  <c r="R54" i="33"/>
  <c r="S54" i="33" s="1"/>
  <c r="T54" i="33" s="1"/>
  <c r="R82" i="33"/>
  <c r="S82" i="33" s="1"/>
  <c r="T82" i="33" s="1"/>
  <c r="R42" i="33"/>
  <c r="U41" i="33"/>
  <c r="R127" i="33"/>
  <c r="U126" i="33" s="1"/>
  <c r="R39" i="33"/>
  <c r="S39" i="33" s="1"/>
  <c r="T39" i="33" s="1"/>
  <c r="R56" i="33"/>
  <c r="S56" i="33" s="1"/>
  <c r="T56" i="33" s="1"/>
  <c r="R66" i="33"/>
  <c r="S66" i="33" s="1"/>
  <c r="T66" i="33" s="1"/>
  <c r="R102" i="33"/>
  <c r="S102" i="33" s="1"/>
  <c r="T102" i="33" s="1"/>
  <c r="R41" i="33"/>
  <c r="R92" i="33"/>
  <c r="S92" i="33" s="1"/>
  <c r="T92" i="33" s="1"/>
  <c r="R88" i="33"/>
  <c r="S88" i="33" s="1"/>
  <c r="T88" i="33" s="1"/>
  <c r="R109" i="33"/>
  <c r="R68" i="33"/>
  <c r="U113" i="33"/>
  <c r="S113" i="33"/>
  <c r="T113" i="33" s="1"/>
  <c r="R110" i="33"/>
  <c r="U109" i="33" s="1"/>
  <c r="R74" i="33"/>
  <c r="S74" i="33" s="1"/>
  <c r="T74" i="33" s="1"/>
  <c r="R120" i="33"/>
  <c r="R124" i="33"/>
  <c r="U123" i="33" s="1"/>
  <c r="R69" i="33"/>
  <c r="U68" i="33" s="1"/>
  <c r="R121" i="33"/>
  <c r="U120" i="33" s="1"/>
  <c r="R90" i="33"/>
  <c r="S90" i="33" s="1"/>
  <c r="T90" i="33" s="1"/>
  <c r="R23" i="33"/>
  <c r="S23" i="33" s="1"/>
  <c r="T23" i="33" s="1"/>
  <c r="R72" i="33"/>
  <c r="S72" i="33" s="1"/>
  <c r="T72" i="33" s="1"/>
  <c r="R106" i="33"/>
  <c r="S106" i="33" s="1"/>
  <c r="T106" i="33" s="1"/>
  <c r="R76" i="33"/>
  <c r="S76" i="33" s="1"/>
  <c r="T76" i="33" s="1"/>
  <c r="R78" i="33"/>
  <c r="S78" i="33" s="1"/>
  <c r="T78" i="33" s="1"/>
  <c r="T296" i="34"/>
  <c r="W296" i="34"/>
  <c r="T126" i="34"/>
  <c r="W220" i="34"/>
  <c r="W126" i="34"/>
  <c r="U220" i="34"/>
  <c r="T220" i="34"/>
  <c r="S68" i="33" l="1"/>
  <c r="T68" i="33" s="1"/>
  <c r="S109" i="33"/>
  <c r="T109" i="33" s="1"/>
  <c r="S115" i="33"/>
  <c r="T115" i="33" s="1"/>
  <c r="S120" i="33"/>
  <c r="T120" i="33" s="1"/>
  <c r="S123" i="33"/>
  <c r="T123" i="33" s="1"/>
  <c r="S41" i="33"/>
  <c r="T41" i="33" s="1"/>
  <c r="W297" i="34"/>
  <c r="W298" i="34" s="1"/>
  <c r="W299" i="34" s="1"/>
  <c r="V14" i="33" l="1"/>
  <c r="V126" i="33" l="1"/>
  <c r="W126" i="33" s="1"/>
  <c r="V118" i="33"/>
  <c r="W118" i="33" s="1"/>
  <c r="V110" i="33"/>
  <c r="W110" i="33" s="1"/>
  <c r="V102" i="33"/>
  <c r="W102" i="33" s="1"/>
  <c r="V94" i="33"/>
  <c r="W94" i="33" s="1"/>
  <c r="V86" i="33"/>
  <c r="W86" i="33" s="1"/>
  <c r="V78" i="33"/>
  <c r="W78" i="33" s="1"/>
  <c r="V70" i="33"/>
  <c r="W70" i="33" s="1"/>
  <c r="V62" i="33"/>
  <c r="W62" i="33" s="1"/>
  <c r="V54" i="33"/>
  <c r="W54" i="33" s="1"/>
  <c r="V46" i="33"/>
  <c r="W46" i="33" s="1"/>
  <c r="V38" i="33"/>
  <c r="W38" i="33" s="1"/>
  <c r="V30" i="33"/>
  <c r="W30" i="33" s="1"/>
  <c r="V125" i="33"/>
  <c r="W125" i="33" s="1"/>
  <c r="V117" i="33"/>
  <c r="W117" i="33" s="1"/>
  <c r="V109" i="33"/>
  <c r="W109" i="33" s="1"/>
  <c r="V101" i="33"/>
  <c r="W101" i="33" s="1"/>
  <c r="V93" i="33"/>
  <c r="W93" i="33" s="1"/>
  <c r="V85" i="33"/>
  <c r="W85" i="33" s="1"/>
  <c r="V77" i="33"/>
  <c r="W77" i="33" s="1"/>
  <c r="V69" i="33"/>
  <c r="W69" i="33" s="1"/>
  <c r="V61" i="33"/>
  <c r="W61" i="33" s="1"/>
  <c r="V53" i="33"/>
  <c r="W53" i="33" s="1"/>
  <c r="V45" i="33"/>
  <c r="W45" i="33" s="1"/>
  <c r="V37" i="33"/>
  <c r="W37" i="33" s="1"/>
  <c r="V29" i="33"/>
  <c r="W29" i="33" s="1"/>
  <c r="V124" i="33"/>
  <c r="W124" i="33" s="1"/>
  <c r="V116" i="33"/>
  <c r="W116" i="33" s="1"/>
  <c r="V108" i="33"/>
  <c r="W108" i="33" s="1"/>
  <c r="V100" i="33"/>
  <c r="W100" i="33" s="1"/>
  <c r="V92" i="33"/>
  <c r="W92" i="33" s="1"/>
  <c r="V84" i="33"/>
  <c r="W84" i="33" s="1"/>
  <c r="V76" i="33"/>
  <c r="W76" i="33" s="1"/>
  <c r="V68" i="33"/>
  <c r="W68" i="33" s="1"/>
  <c r="V60" i="33"/>
  <c r="W60" i="33" s="1"/>
  <c r="V52" i="33"/>
  <c r="W52" i="33" s="1"/>
  <c r="V44" i="33"/>
  <c r="W44" i="33" s="1"/>
  <c r="V36" i="33"/>
  <c r="W36" i="33" s="1"/>
  <c r="V28" i="33"/>
  <c r="W28" i="33" s="1"/>
  <c r="V123" i="33"/>
  <c r="W123" i="33" s="1"/>
  <c r="V115" i="33"/>
  <c r="W115" i="33" s="1"/>
  <c r="V107" i="33"/>
  <c r="W107" i="33" s="1"/>
  <c r="V99" i="33"/>
  <c r="W99" i="33" s="1"/>
  <c r="V91" i="33"/>
  <c r="W91" i="33" s="1"/>
  <c r="V83" i="33"/>
  <c r="W83" i="33" s="1"/>
  <c r="V75" i="33"/>
  <c r="W75" i="33" s="1"/>
  <c r="V67" i="33"/>
  <c r="W67" i="33" s="1"/>
  <c r="V59" i="33"/>
  <c r="W59" i="33" s="1"/>
  <c r="V51" i="33"/>
  <c r="W51" i="33" s="1"/>
  <c r="V43" i="33"/>
  <c r="W43" i="33" s="1"/>
  <c r="V35" i="33"/>
  <c r="W35" i="33" s="1"/>
  <c r="V27" i="33"/>
  <c r="W27" i="33" s="1"/>
  <c r="V113" i="33"/>
  <c r="W113" i="33" s="1"/>
  <c r="V97" i="33"/>
  <c r="W97" i="33" s="1"/>
  <c r="V89" i="33"/>
  <c r="W89" i="33" s="1"/>
  <c r="V73" i="33"/>
  <c r="W73" i="33" s="1"/>
  <c r="V57" i="33"/>
  <c r="W57" i="33" s="1"/>
  <c r="V41" i="33"/>
  <c r="W41" i="33" s="1"/>
  <c r="V25" i="33"/>
  <c r="W25" i="33" s="1"/>
  <c r="V122" i="33"/>
  <c r="W122" i="33" s="1"/>
  <c r="V114" i="33"/>
  <c r="W114" i="33" s="1"/>
  <c r="V106" i="33"/>
  <c r="W106" i="33" s="1"/>
  <c r="V98" i="33"/>
  <c r="W98" i="33" s="1"/>
  <c r="V90" i="33"/>
  <c r="W90" i="33" s="1"/>
  <c r="V82" i="33"/>
  <c r="W82" i="33" s="1"/>
  <c r="V74" i="33"/>
  <c r="W74" i="33" s="1"/>
  <c r="V66" i="33"/>
  <c r="W66" i="33" s="1"/>
  <c r="V58" i="33"/>
  <c r="W58" i="33" s="1"/>
  <c r="V50" i="33"/>
  <c r="W50" i="33" s="1"/>
  <c r="V42" i="33"/>
  <c r="W42" i="33" s="1"/>
  <c r="V34" i="33"/>
  <c r="W34" i="33" s="1"/>
  <c r="V26" i="33"/>
  <c r="W26" i="33" s="1"/>
  <c r="V121" i="33"/>
  <c r="W121" i="33" s="1"/>
  <c r="V105" i="33"/>
  <c r="W105" i="33" s="1"/>
  <c r="V81" i="33"/>
  <c r="W81" i="33" s="1"/>
  <c r="V65" i="33"/>
  <c r="W65" i="33" s="1"/>
  <c r="V49" i="33"/>
  <c r="W49" i="33" s="1"/>
  <c r="V33" i="33"/>
  <c r="W33" i="33" s="1"/>
  <c r="V128" i="33"/>
  <c r="W128" i="33" s="1"/>
  <c r="V120" i="33"/>
  <c r="W120" i="33" s="1"/>
  <c r="V112" i="33"/>
  <c r="W112" i="33" s="1"/>
  <c r="V104" i="33"/>
  <c r="W104" i="33" s="1"/>
  <c r="V96" i="33"/>
  <c r="W96" i="33" s="1"/>
  <c r="V88" i="33"/>
  <c r="W88" i="33" s="1"/>
  <c r="V80" i="33"/>
  <c r="W80" i="33" s="1"/>
  <c r="V72" i="33"/>
  <c r="W72" i="33" s="1"/>
  <c r="V64" i="33"/>
  <c r="W64" i="33" s="1"/>
  <c r="V56" i="33"/>
  <c r="W56" i="33" s="1"/>
  <c r="V48" i="33"/>
  <c r="W48" i="33" s="1"/>
  <c r="V40" i="33"/>
  <c r="W40" i="33" s="1"/>
  <c r="V32" i="33"/>
  <c r="W32" i="33" s="1"/>
  <c r="V127" i="33"/>
  <c r="W127" i="33" s="1"/>
  <c r="V119" i="33"/>
  <c r="W119" i="33" s="1"/>
  <c r="V111" i="33"/>
  <c r="W111" i="33" s="1"/>
  <c r="V103" i="33"/>
  <c r="W103" i="33" s="1"/>
  <c r="V95" i="33"/>
  <c r="W95" i="33" s="1"/>
  <c r="V87" i="33"/>
  <c r="W87" i="33" s="1"/>
  <c r="V79" i="33"/>
  <c r="W79" i="33" s="1"/>
  <c r="V71" i="33"/>
  <c r="W71" i="33" s="1"/>
  <c r="V63" i="33"/>
  <c r="W63" i="33" s="1"/>
  <c r="V55" i="33"/>
  <c r="W55" i="33" s="1"/>
  <c r="V47" i="33"/>
  <c r="W47" i="33" s="1"/>
  <c r="V39" i="33"/>
  <c r="W39" i="33" s="1"/>
  <c r="V31" i="33"/>
  <c r="W31" i="33" s="1"/>
  <c r="V139" i="33"/>
  <c r="U14" i="33"/>
  <c r="W129" i="33" l="1"/>
  <c r="P9" i="33"/>
  <c r="A23" i="12" l="1"/>
  <c r="A24" i="12" s="1"/>
  <c r="A25" i="12" s="1"/>
  <c r="A26" i="12" s="1"/>
  <c r="I18" i="15" l="1"/>
  <c r="F22" i="12" l="1"/>
  <c r="F21" i="15"/>
  <c r="G17" i="15"/>
  <c r="G16" i="15"/>
  <c r="B3" i="15"/>
  <c r="A1" i="15"/>
  <c r="C22" i="12"/>
  <c r="A11" i="12"/>
  <c r="H1" i="12"/>
  <c r="H66" i="12"/>
  <c r="H63" i="12"/>
  <c r="F47" i="12"/>
  <c r="F46" i="12"/>
  <c r="F44" i="12"/>
  <c r="H33" i="12"/>
  <c r="H32" i="12"/>
  <c r="H31" i="12"/>
  <c r="H30" i="12"/>
  <c r="H29" i="12"/>
  <c r="H28" i="12"/>
  <c r="H27" i="12"/>
  <c r="H26" i="12"/>
  <c r="H25" i="12"/>
  <c r="H24" i="12"/>
  <c r="A28" i="12"/>
  <c r="A29" i="12" s="1"/>
  <c r="A30" i="12" s="1"/>
  <c r="A31" i="12" s="1"/>
  <c r="A32" i="12" s="1"/>
  <c r="A33" i="12" s="1"/>
  <c r="G20" i="12"/>
  <c r="G35" i="12" s="1"/>
  <c r="G39" i="12" s="1"/>
  <c r="H19" i="12"/>
  <c r="A19" i="12"/>
  <c r="H18" i="12"/>
  <c r="H20" i="12" l="1"/>
  <c r="F34" i="12"/>
  <c r="F35" i="12" l="1"/>
  <c r="W300" i="34" s="1"/>
  <c r="W301" i="34" s="1"/>
  <c r="W302" i="34" s="1"/>
  <c r="W303" i="34" s="1"/>
  <c r="W304" i="34" s="1"/>
  <c r="W132" i="33"/>
  <c r="F37" i="12" l="1"/>
  <c r="F38" i="12" s="1"/>
  <c r="F39" i="12" s="1"/>
  <c r="F48" i="12" s="1"/>
  <c r="F53" i="12" s="1"/>
  <c r="F55" i="12" s="1"/>
  <c r="F56" i="12" s="1"/>
  <c r="F58" i="12" s="1"/>
  <c r="F59" i="12" s="1"/>
  <c r="F67" i="12" s="1"/>
  <c r="H23" i="12"/>
  <c r="F42" i="12" l="1"/>
  <c r="Y6" i="6"/>
  <c r="Z6" i="6"/>
  <c r="AA6" i="6"/>
  <c r="AB6" i="6"/>
  <c r="AD6" i="6"/>
  <c r="AE6" i="6"/>
  <c r="AF6" i="6"/>
  <c r="AG6" i="6"/>
  <c r="AH6" i="6"/>
  <c r="AI6" i="6"/>
  <c r="U14" i="6" l="1"/>
  <c r="AC20" i="6" l="1"/>
  <c r="Z20" i="6"/>
  <c r="AC19" i="6"/>
  <c r="Z19" i="6"/>
  <c r="Z16" i="6"/>
  <c r="AE16" i="6" s="1"/>
  <c r="U130" i="6" l="1"/>
  <c r="U131" i="6" s="1"/>
  <c r="U132" i="6" l="1"/>
  <c r="U133" i="6" s="1"/>
  <c r="U135" i="6" s="1"/>
  <c r="U136" i="6" s="1"/>
  <c r="E22" i="12" s="1"/>
  <c r="E34" i="12" s="1"/>
  <c r="E35" i="12" s="1"/>
  <c r="E37" i="12" l="1"/>
  <c r="E38" i="12" s="1"/>
  <c r="E39" i="12" s="1"/>
  <c r="T130" i="6"/>
  <c r="T131" i="6" s="1"/>
  <c r="E41" i="12" l="1"/>
  <c r="T132" i="6"/>
  <c r="T133" i="6" s="1"/>
  <c r="D22" i="12" s="1"/>
  <c r="D34" i="12" l="1"/>
  <c r="E42" i="12"/>
  <c r="E47" i="12"/>
  <c r="E48" i="12" s="1"/>
  <c r="E53" i="12" s="1"/>
  <c r="E55" i="12" s="1"/>
  <c r="E56" i="12" s="1"/>
  <c r="E58" i="12" s="1"/>
  <c r="E59" i="12" s="1"/>
  <c r="E67" i="12" s="1"/>
  <c r="E43" i="12"/>
  <c r="T135" i="6"/>
  <c r="T136" i="6" s="1"/>
  <c r="D35" i="12" l="1"/>
  <c r="H22" i="12"/>
  <c r="H34" i="12" s="1"/>
  <c r="E44" i="12"/>
  <c r="E45" i="12"/>
  <c r="E46" i="12" s="1"/>
  <c r="P9" i="6"/>
  <c r="H35" i="12" l="1"/>
  <c r="H64" i="12"/>
  <c r="D37" i="12"/>
  <c r="D38" i="12" s="1"/>
  <c r="H62" i="12" l="1"/>
  <c r="H37" i="12"/>
  <c r="G7" i="12" s="1"/>
  <c r="G65" i="12"/>
  <c r="H65" i="12" s="1"/>
  <c r="D39" i="12"/>
  <c r="H38" i="12"/>
  <c r="G45" i="12" l="1"/>
  <c r="D41" i="12"/>
  <c r="H39" i="12"/>
  <c r="D42" i="12" l="1"/>
  <c r="H41" i="12"/>
  <c r="G46" i="12"/>
  <c r="G47" i="12"/>
  <c r="G48" i="12" s="1"/>
  <c r="H45" i="12"/>
  <c r="D43" i="12" l="1"/>
  <c r="D44" i="12" s="1"/>
  <c r="H42" i="12"/>
  <c r="H44" i="12" l="1"/>
  <c r="D48" i="12"/>
  <c r="D46" i="12"/>
  <c r="H46" i="12" s="1"/>
  <c r="D47" i="12"/>
  <c r="H47" i="12" s="1"/>
  <c r="H43" i="12"/>
  <c r="H48" i="12" l="1"/>
  <c r="G51" i="12"/>
  <c r="H51" i="12" s="1"/>
  <c r="G50" i="12"/>
  <c r="D53" i="12"/>
  <c r="G52" i="12" l="1"/>
  <c r="H50" i="12"/>
  <c r="D55" i="12"/>
  <c r="D56" i="12" l="1"/>
  <c r="G53" i="12"/>
  <c r="H52" i="12"/>
  <c r="G55" i="12" l="1"/>
  <c r="H53" i="12"/>
  <c r="D58" i="12"/>
  <c r="D59" i="12" l="1"/>
  <c r="H58" i="12"/>
  <c r="G56" i="12"/>
  <c r="H55" i="12"/>
  <c r="G59" i="12" l="1"/>
  <c r="G67" i="12" s="1"/>
  <c r="H56" i="12"/>
  <c r="D67" i="12"/>
  <c r="I67" i="12" l="1"/>
  <c r="Y136" i="33"/>
  <c r="Y304" i="34"/>
  <c r="Z304" i="34" s="1"/>
  <c r="H59" i="12"/>
  <c r="H67" i="12" s="1"/>
  <c r="G5" i="12" s="1"/>
  <c r="A43" i="12"/>
  <c r="A45" i="12" s="1"/>
  <c r="A50" i="12"/>
  <c r="A51" i="12" s="1"/>
  <c r="A55" i="12" s="1"/>
  <c r="A62" i="12" s="1"/>
  <c r="A64" i="12" s="1"/>
  <c r="W130" i="33"/>
  <c r="W131" i="33" s="1"/>
  <c r="W133" i="33" s="1"/>
  <c r="X132" i="33" l="1"/>
  <c r="X53" i="33"/>
  <c r="X22" i="33"/>
  <c r="W134" i="33"/>
  <c r="W135" i="33" s="1"/>
  <c r="W136" i="33" s="1"/>
  <c r="Z136" i="33" s="1"/>
  <c r="X133" i="33" l="1"/>
</calcChain>
</file>

<file path=xl/sharedStrings.xml><?xml version="1.0" encoding="utf-8"?>
<sst xmlns="http://schemas.openxmlformats.org/spreadsheetml/2006/main" count="1416" uniqueCount="463">
  <si>
    <t>Բ Ա Ց Ա Տ Ր Ա Գ Ի Ր</t>
  </si>
  <si>
    <t>գրության հիման վրա՝   նախագծի աշխատանքային ծավալների համապատասխան:</t>
  </si>
  <si>
    <t xml:space="preserve">Նյութերի այն արժեքները, որոնք բացակայում են ինֆորմացիոն տեղեկագրքից վերցված են </t>
  </si>
  <si>
    <t xml:space="preserve"> մոնիտորինգի արդյունքով, շուկայական գներով:</t>
  </si>
  <si>
    <t xml:space="preserve">         Նախահաշիվը կազմված է հետևյալ նորմատիվային փաստաթղթերով. </t>
  </si>
  <si>
    <r>
      <t xml:space="preserve">              </t>
    </r>
    <r>
      <rPr>
        <b/>
        <sz val="11"/>
        <color theme="1"/>
        <rFont val="Sylfaen"/>
        <family val="1"/>
      </rPr>
      <t xml:space="preserve"> •  </t>
    </r>
    <r>
      <rPr>
        <sz val="11"/>
        <color theme="1"/>
        <rFont val="Sylfaen"/>
        <family val="1"/>
      </rPr>
      <t xml:space="preserve">СНuП IV-5-82,         </t>
    </r>
  </si>
  <si>
    <r>
      <t xml:space="preserve">             </t>
    </r>
    <r>
      <rPr>
        <b/>
        <sz val="11"/>
        <color theme="1"/>
        <rFont val="Sylfaen"/>
        <family val="1"/>
      </rPr>
      <t xml:space="preserve">  •  </t>
    </r>
    <r>
      <rPr>
        <sz val="11"/>
        <color theme="1"/>
        <rFont val="Sylfaen"/>
        <family val="1"/>
      </rPr>
      <t xml:space="preserve">СНuП IV-2-82 </t>
    </r>
  </si>
  <si>
    <t xml:space="preserve">                   պատրաստվածքների կողմնորոշիչ  գներ:</t>
  </si>
  <si>
    <t xml:space="preserve">         Միջին աշխատավարձի  չափը կազմում է </t>
  </si>
  <si>
    <t xml:space="preserve">  հազ. դրամ, </t>
  </si>
  <si>
    <t xml:space="preserve">         Հիմնական աշխատանքի ինդեքսը կազմում է </t>
  </si>
  <si>
    <t>:</t>
  </si>
  <si>
    <t xml:space="preserve">         Մեքենամեխանիզմների շահագործման ինդեքսը կազմում է </t>
  </si>
  <si>
    <r>
      <rPr>
        <b/>
        <sz val="11"/>
        <color theme="1"/>
        <rFont val="Sylfaen"/>
        <family val="1"/>
      </rPr>
      <t xml:space="preserve">              •  </t>
    </r>
    <r>
      <rPr>
        <sz val="11"/>
        <color theme="1"/>
        <rFont val="Sylfaen"/>
        <family val="1"/>
      </rPr>
      <t>Վերադիր ծախսերը կազմում են – 13.3%</t>
    </r>
  </si>
  <si>
    <r>
      <rPr>
        <b/>
        <sz val="11"/>
        <color theme="1"/>
        <rFont val="Sylfaen"/>
        <family val="1"/>
      </rPr>
      <t xml:space="preserve">              •</t>
    </r>
    <r>
      <rPr>
        <sz val="11"/>
        <color theme="1"/>
        <rFont val="Sylfaen"/>
        <family val="1"/>
      </rPr>
      <t xml:space="preserve">  Շահույթը- 11%</t>
    </r>
  </si>
  <si>
    <r>
      <rPr>
        <b/>
        <sz val="11"/>
        <color theme="1"/>
        <rFont val="Sylfaen"/>
        <family val="1"/>
      </rPr>
      <t xml:space="preserve">              •</t>
    </r>
    <r>
      <rPr>
        <sz val="11"/>
        <color theme="1"/>
        <rFont val="Sylfaen"/>
        <family val="1"/>
      </rPr>
      <t xml:space="preserve">  Տրանսպորտային ծախսեր – </t>
    </r>
  </si>
  <si>
    <t>%</t>
  </si>
  <si>
    <r>
      <rPr>
        <b/>
        <sz val="11"/>
        <color theme="1"/>
        <rFont val="Sylfaen"/>
        <family val="1"/>
      </rPr>
      <t xml:space="preserve">              •</t>
    </r>
    <r>
      <rPr>
        <sz val="11"/>
        <color theme="1"/>
        <rFont val="Sylfaen"/>
        <family val="1"/>
      </rPr>
      <t xml:space="preserve">  Պահեստավորման ծախսեր- 2%</t>
    </r>
  </si>
  <si>
    <r>
      <rPr>
        <b/>
        <sz val="11"/>
        <color theme="1"/>
        <rFont val="Sylfaen"/>
        <family val="1"/>
      </rPr>
      <t xml:space="preserve">              •</t>
    </r>
    <r>
      <rPr>
        <sz val="11"/>
        <color theme="1"/>
        <rFont val="Sylfaen"/>
        <family val="1"/>
      </rPr>
      <t xml:space="preserve">  Այլ նյութեր- 5%</t>
    </r>
  </si>
  <si>
    <r>
      <rPr>
        <b/>
        <sz val="11"/>
        <color theme="1"/>
        <rFont val="Sylfaen"/>
        <family val="1"/>
      </rPr>
      <t xml:space="preserve">              •</t>
    </r>
    <r>
      <rPr>
        <sz val="11"/>
        <color theme="1"/>
        <rFont val="Sylfaen"/>
        <family val="1"/>
      </rPr>
      <t xml:space="preserve">  ԱԱՀ-20%</t>
    </r>
  </si>
  <si>
    <t xml:space="preserve"> </t>
  </si>
  <si>
    <t>Պատվիրատու՝</t>
  </si>
  <si>
    <t>Հաստատված է</t>
  </si>
  <si>
    <t xml:space="preserve">(հաստատման ժամկետը)        </t>
  </si>
  <si>
    <t xml:space="preserve">      Ամփոփ նախահաշվային հաշվարկի ընդհանուր գումար՝</t>
  </si>
  <si>
    <t>հազ. դրամ</t>
  </si>
  <si>
    <t>Այդ թվում վերադարձվող գումար՝</t>
  </si>
  <si>
    <t>ՇԻՆԱՐԱՐՈՒԹՅԱՆ ԱՐԺԵՔԻ ԱՄՓՈՓ ՆԱԽԱՀԱՇՎԱՅԻՆ ՀԱՇՎԱՐԿ</t>
  </si>
  <si>
    <t>(կառույցի անվանումը)</t>
  </si>
  <si>
    <t xml:space="preserve">№
Հ/Հ </t>
  </si>
  <si>
    <t>№№
Նախահաշվի և հաշվարկի համարը</t>
  </si>
  <si>
    <t>Կառույցի, մասերի, աշխատանքների և ծախսերի անվանումը</t>
  </si>
  <si>
    <t>Նախահաշվային արժեքը  (հազ. դրամ)</t>
  </si>
  <si>
    <t>Շինմոնտաժային աշխատանքներ</t>
  </si>
  <si>
    <t>Այդ թվում նյութա-տեխնիկական ռեսուրսները</t>
  </si>
  <si>
    <t>Սարքավորում</t>
  </si>
  <si>
    <t>Այլ ծախսեր</t>
  </si>
  <si>
    <t xml:space="preserve">Ընդամենը նախահաշվային արժեք  
(հազ. դրամ) </t>
  </si>
  <si>
    <t>Գլուխ 2. Շինարարության հիմնական օբյեկտներ</t>
  </si>
  <si>
    <t>ԼՆ 1</t>
  </si>
  <si>
    <t>Ընդամենը գլուխ 2:</t>
  </si>
  <si>
    <t>ԸՆԴԱՄԵՆԸ  ԳԼՈՒԽՆԵՐ 1-7:</t>
  </si>
  <si>
    <t xml:space="preserve">Գլուխ 8. Ժամանակավոր կառույցներ և շինություներ </t>
  </si>
  <si>
    <t xml:space="preserve">Ժամանակավոր կառույցներ և շինություներ </t>
  </si>
  <si>
    <t>Ընդամենը գլուխ 8:</t>
  </si>
  <si>
    <t>ԸՆԴԱՄԵՆԸ  ԳԼՈՒԽՆԵՐ 1-8:</t>
  </si>
  <si>
    <t>Գլուխ 9. Այլ աշխատանքներ և ծախսեր</t>
  </si>
  <si>
    <t>Ընդամենը գլուխ 9:</t>
  </si>
  <si>
    <t>ԸՆԴԱՄԵՆԸ  ԳԼՈՒԽՆԵՐ 1-9:</t>
  </si>
  <si>
    <t>Գլուխ 10. Տեխնիկական և հեղինակային հսկողություն ծախսեր</t>
  </si>
  <si>
    <t>Ընդամենը գլուխ 10:</t>
  </si>
  <si>
    <t>ԸՆԴԱՄԵՆԸ  ԳԼՈՒԽՆԵՐ 1-10:</t>
  </si>
  <si>
    <t>Չնախատեսնված աշխատանքների ծախսեր</t>
  </si>
  <si>
    <t>Չնախատեսնված աշխատանքներ և ծախսեր</t>
  </si>
  <si>
    <t>ԸՆԴԱՄԵՆԸ:</t>
  </si>
  <si>
    <t>ԱԱՀ</t>
  </si>
  <si>
    <t>Ընդամենը ներառյալ ԱԱՀ</t>
  </si>
  <si>
    <t>Գլուխ 12. Նախագծանախահաշվային աշխատանքների և փորձաքննության ծախսեր</t>
  </si>
  <si>
    <t>Պարտադիր փորձաքննության ծախսեր (ներառյալ ԱԱՀ)</t>
  </si>
  <si>
    <t>Ընդամենը գլուխ 12:</t>
  </si>
  <si>
    <t xml:space="preserve">Получение технических условий на электроснабжение от ЗАО "Электрические сети Армении" </t>
  </si>
  <si>
    <t>ԸՆԴԱՄԵՆԸ ԱՄՓՈՓ ՆԱԽԱՀԱՇՎՈՎ:</t>
  </si>
  <si>
    <t>Կազմեց՝</t>
  </si>
  <si>
    <t xml:space="preserve">Շինարարության անվանումը </t>
  </si>
  <si>
    <t>Երևան</t>
  </si>
  <si>
    <t>Արմավիր</t>
  </si>
  <si>
    <t>Արարատ</t>
  </si>
  <si>
    <t>Արագածոտն</t>
  </si>
  <si>
    <t xml:space="preserve">Կոտայք </t>
  </si>
  <si>
    <t>Գեղարքունիք</t>
  </si>
  <si>
    <t>Վայոց Ձոր</t>
  </si>
  <si>
    <t>Լոռի</t>
  </si>
  <si>
    <t xml:space="preserve">Շիրակ </t>
  </si>
  <si>
    <t>Սյունիք</t>
  </si>
  <si>
    <t>Տավուշ</t>
  </si>
  <si>
    <t xml:space="preserve">Տեղային նախահաշիվ թիվ </t>
  </si>
  <si>
    <t>1</t>
  </si>
  <si>
    <t>Տրանսպորտ</t>
  </si>
  <si>
    <t>K Նյութ</t>
  </si>
  <si>
    <t>Հիմք</t>
  </si>
  <si>
    <t>Նախահաշվային արժեքը</t>
  </si>
  <si>
    <t xml:space="preserve">Միջին աշխատավարձը </t>
  </si>
  <si>
    <t>դրամ</t>
  </si>
  <si>
    <t>Նյութեր</t>
  </si>
  <si>
    <t>-</t>
  </si>
  <si>
    <t xml:space="preserve">Անցումային գործակիցները: 
</t>
  </si>
  <si>
    <t>աշխատավարձի -</t>
  </si>
  <si>
    <t>մեքենաների շահագործման -</t>
  </si>
  <si>
    <t xml:space="preserve">Հ/Հ
</t>
  </si>
  <si>
    <t>Շիֆր, նորմատիվի համար</t>
  </si>
  <si>
    <t xml:space="preserve">Աշխատանքների անվանումը </t>
  </si>
  <si>
    <t>Չափման միավորը</t>
  </si>
  <si>
    <t>Քանակը</t>
  </si>
  <si>
    <t>Աշխատավարձի միավորը ռուբ./հազար դրամ</t>
  </si>
  <si>
    <t xml:space="preserve">Մեքեն.շահագործման միավորը ռուբ./հազար դրամ </t>
  </si>
  <si>
    <t>Նյութեր անվանումը (հազար դրամ)</t>
  </si>
  <si>
    <t>Միավորի արժեքը հազար դրամ</t>
  </si>
  <si>
    <t>Միավորի ընդհանուր արժեքը  հազար դրամ</t>
  </si>
  <si>
    <t>Ընդհանուր արժեքը հազար դրամ</t>
  </si>
  <si>
    <t xml:space="preserve">Նյութերի ընդհանուրի արժեքը հազար դրամ </t>
  </si>
  <si>
    <t xml:space="preserve">Ասֆալտ </t>
  </si>
  <si>
    <t xml:space="preserve">Խճի քանդում </t>
  </si>
  <si>
    <t xml:space="preserve">Քանդում խրամուղի </t>
  </si>
  <si>
    <t>Քանդում փոսեր</t>
  </si>
  <si>
    <t>Ետլիցք բուլդոզեր</t>
  </si>
  <si>
    <t xml:space="preserve">Ետլիցք ձեռք </t>
  </si>
  <si>
    <t xml:space="preserve">Ավելորդ գրունտ </t>
  </si>
  <si>
    <t>բալանս</t>
  </si>
  <si>
    <t>Նյութերի անվանումը</t>
  </si>
  <si>
    <t>չափման միավորը</t>
  </si>
  <si>
    <t xml:space="preserve">Քանակը միավորի համար </t>
  </si>
  <si>
    <t xml:space="preserve">Նյութերի ընդհանուր ծախսը </t>
  </si>
  <si>
    <t>Նյութերի միավորի արժեքը  (Գ)</t>
  </si>
  <si>
    <t>Դիամետր</t>
  </si>
  <si>
    <t xml:space="preserve">երկարություն </t>
  </si>
  <si>
    <t xml:space="preserve">Խողովակի ծավալ </t>
  </si>
  <si>
    <t>մ</t>
  </si>
  <si>
    <t>Ընդամենը</t>
  </si>
  <si>
    <t>Վերադիր ծախսեր</t>
  </si>
  <si>
    <t>Շահույթ</t>
  </si>
  <si>
    <t>*Սարքավորում</t>
  </si>
  <si>
    <t>Ընդամենը նախահաշվով</t>
  </si>
  <si>
    <r>
      <t>մ</t>
    </r>
    <r>
      <rPr>
        <vertAlign val="superscript"/>
        <sz val="9"/>
        <rFont val="Sylfaen"/>
        <family val="1"/>
      </rPr>
      <t>2</t>
    </r>
  </si>
  <si>
    <t>գմ</t>
  </si>
  <si>
    <t>կգ</t>
  </si>
  <si>
    <t>25-392</t>
  </si>
  <si>
    <t>կմ</t>
  </si>
  <si>
    <t>13-121   
գ-2</t>
  </si>
  <si>
    <t>լուծիչ</t>
  </si>
  <si>
    <t xml:space="preserve">նախաներկ ГФ - 021   </t>
  </si>
  <si>
    <t>յուղաներկ</t>
  </si>
  <si>
    <t>ԼՆ 6</t>
  </si>
  <si>
    <t>Միավորի ընդհանուր արժեքը հազար դրամ</t>
  </si>
  <si>
    <t>5</t>
  </si>
  <si>
    <t>6</t>
  </si>
  <si>
    <t xml:space="preserve">Սարքավորում </t>
  </si>
  <si>
    <t xml:space="preserve">Ընդամենը </t>
  </si>
  <si>
    <t>ԼՆ 7</t>
  </si>
  <si>
    <t>Ձմեռային թանկացումներ</t>
  </si>
  <si>
    <t>Փոքր ծավալի աշխատանքներ</t>
  </si>
  <si>
    <t>Շինարարական  աղբի հեռացում</t>
  </si>
  <si>
    <t>Տեխնիկական հսկողություն  (ներառյալ հարկերը)</t>
  </si>
  <si>
    <t xml:space="preserve"> Հեղինակային հսկողություն (ներառյալ հարկերը)</t>
  </si>
  <si>
    <t>Նախագծանախահաշվային աշխատանքների ծախսեր ներառյալ հարկերը</t>
  </si>
  <si>
    <t xml:space="preserve">        </t>
  </si>
  <si>
    <t xml:space="preserve">Կազմեց`                                         </t>
  </si>
  <si>
    <t xml:space="preserve">Կազմեց`                                                           </t>
  </si>
  <si>
    <t>15-613</t>
  </si>
  <si>
    <t>22-362</t>
  </si>
  <si>
    <t>Ձևավոր մասեր</t>
  </si>
  <si>
    <t>Прибыль</t>
  </si>
  <si>
    <t>Всего</t>
  </si>
  <si>
    <t>НДС</t>
  </si>
  <si>
    <t>Итого</t>
  </si>
  <si>
    <t>*Oборудование</t>
  </si>
  <si>
    <t>ВСЕГО ПО СМЕТЕ</t>
  </si>
  <si>
    <t xml:space="preserve">№ п/п
</t>
  </si>
  <si>
    <t>Наименование работ и затрат</t>
  </si>
  <si>
    <t>Единица измерения</t>
  </si>
  <si>
    <t>Количество</t>
  </si>
  <si>
    <t>Общая стоимость единицы, тысяча драм</t>
  </si>
  <si>
    <t>Ծավալաթերթ-Նախահաշիվ</t>
  </si>
  <si>
    <t>Объем-лист смета</t>
  </si>
  <si>
    <t>22-87</t>
  </si>
  <si>
    <t>հատ</t>
  </si>
  <si>
    <t>ԼՆ 2</t>
  </si>
  <si>
    <t>ԼՆ 3</t>
  </si>
  <si>
    <t>ԼՆ 4</t>
  </si>
  <si>
    <t>ԼՆ 5</t>
  </si>
  <si>
    <t>ԼՆ 8</t>
  </si>
  <si>
    <t>ԼՆ 9</t>
  </si>
  <si>
    <t>ԼՆ 10</t>
  </si>
  <si>
    <t>ԼՆ 11</t>
  </si>
  <si>
    <t>ԼՆ 12</t>
  </si>
  <si>
    <t xml:space="preserve">№ </t>
  </si>
  <si>
    <t>Ընդհանուր արժեքը արտահայտված տոկոսով</t>
  </si>
  <si>
    <t>Սնող գազատար</t>
  </si>
  <si>
    <t>Общая стоимость процентами</t>
  </si>
  <si>
    <t xml:space="preserve">                                                Составил                                                          </t>
  </si>
  <si>
    <t>1-966</t>
  </si>
  <si>
    <r>
      <t>մ</t>
    </r>
    <r>
      <rPr>
        <vertAlign val="superscript"/>
        <sz val="9"/>
        <rFont val="Sylfaen"/>
        <family val="1"/>
      </rPr>
      <t>3</t>
    </r>
  </si>
  <si>
    <t>1-969</t>
  </si>
  <si>
    <t>6-13</t>
  </si>
  <si>
    <t>բետոն B-12.5</t>
  </si>
  <si>
    <r>
      <t>մ</t>
    </r>
    <r>
      <rPr>
        <vertAlign val="superscript"/>
        <sz val="8"/>
        <rFont val="Sylfaen"/>
        <family val="1"/>
      </rPr>
      <t>3</t>
    </r>
  </si>
  <si>
    <t>վահան</t>
  </si>
  <si>
    <r>
      <t>մ</t>
    </r>
    <r>
      <rPr>
        <vertAlign val="superscript"/>
        <sz val="8"/>
        <rFont val="Sylfaen"/>
        <family val="1"/>
      </rPr>
      <t>2</t>
    </r>
  </si>
  <si>
    <t>տախտակ</t>
  </si>
  <si>
    <t>9-153</t>
  </si>
  <si>
    <t>Պողպատե խողովակներ</t>
  </si>
  <si>
    <t>էլեկտրոդ</t>
  </si>
  <si>
    <t>շուկա</t>
  </si>
  <si>
    <t>Պարոնիտ</t>
  </si>
  <si>
    <t>8-472-6</t>
  </si>
  <si>
    <t>пм</t>
  </si>
  <si>
    <r>
      <t>м</t>
    </r>
    <r>
      <rPr>
        <vertAlign val="superscript"/>
        <sz val="9"/>
        <rFont val="Sylfaen"/>
        <family val="1"/>
      </rPr>
      <t>2</t>
    </r>
  </si>
  <si>
    <t>Продувка газопровода</t>
  </si>
  <si>
    <t>шт</t>
  </si>
  <si>
    <t xml:space="preserve">Установка фасонных частей </t>
  </si>
  <si>
    <t>кг</t>
  </si>
  <si>
    <t>Рытье ям вручную в грунтах IV категории</t>
  </si>
  <si>
    <r>
      <t>м</t>
    </r>
    <r>
      <rPr>
        <vertAlign val="superscript"/>
        <sz val="9"/>
        <rFont val="Sylfaen"/>
        <family val="1"/>
      </rPr>
      <t>3</t>
    </r>
  </si>
  <si>
    <t>Разравнивание лишнего грунта на месте вручную</t>
  </si>
  <si>
    <r>
      <t>м</t>
    </r>
    <r>
      <rPr>
        <vertAlign val="superscript"/>
        <sz val="8"/>
        <rFont val="Sylfaen"/>
        <family val="1"/>
      </rPr>
      <t>3</t>
    </r>
  </si>
  <si>
    <t>Бетонный фундамент под опоры  B12.5 (M150)</t>
  </si>
  <si>
    <t>Установка металлических стоек  d=76x3мм</t>
  </si>
  <si>
    <t>Установка металлических чаш под газопровод</t>
  </si>
  <si>
    <t>Паронит</t>
  </si>
  <si>
    <t>Պողպ. կոնստրուկցիաներ</t>
  </si>
  <si>
    <t>հեղյուս, մանեկ</t>
  </si>
  <si>
    <t xml:space="preserve">H-5մ  </t>
  </si>
  <si>
    <t>1-962</t>
  </si>
  <si>
    <t>1-970</t>
  </si>
  <si>
    <t>9-131</t>
  </si>
  <si>
    <t>շին. հեղյուս</t>
  </si>
  <si>
    <t>8-52-1</t>
  </si>
  <si>
    <t>Մեկուսիչներ</t>
  </si>
  <si>
    <t>8-471-2</t>
  </si>
  <si>
    <t>անկյունակ 63x63x5մմ</t>
  </si>
  <si>
    <t xml:space="preserve">պողպատ շերտ. 40х4մմ </t>
  </si>
  <si>
    <t>Монтаж неподвижных опор</t>
  </si>
  <si>
    <t xml:space="preserve"> Металлическая защитная сетка   H-5м  мест</t>
  </si>
  <si>
    <t>Разравнивание лишнего грунта на месте</t>
  </si>
  <si>
    <t>Осуществление металлической защитной сетки</t>
  </si>
  <si>
    <t>Изолятор  ШСА-10А</t>
  </si>
  <si>
    <t>Вертикальное заземление ( электрод из угловой оцинкованной стали 63x63x5м)</t>
  </si>
  <si>
    <t xml:space="preserve">Горизонтальное заземление (сталь полос. 4х40мм )  </t>
  </si>
  <si>
    <t>Գլուխ 1.  Տարածքի նախապատրաստում</t>
  </si>
  <si>
    <t>Ընդամենը գլուխ 1:</t>
  </si>
  <si>
    <t>տեղադրման, տեղափոխման, պահեստավորման և այլ նյութերի արժեքը</t>
  </si>
  <si>
    <t>23-1</t>
  </si>
  <si>
    <t>ավազ</t>
  </si>
  <si>
    <t>1-1593</t>
  </si>
  <si>
    <t>Գ III</t>
  </si>
  <si>
    <t>24-398</t>
  </si>
  <si>
    <t xml:space="preserve">խողովակ Ø32x3,0մմ </t>
  </si>
  <si>
    <t>պոկովկա</t>
  </si>
  <si>
    <t>22-90</t>
  </si>
  <si>
    <t xml:space="preserve">խողովակ Ø159x4.5մմ  </t>
  </si>
  <si>
    <t>թթվածին</t>
  </si>
  <si>
    <t>1-1551</t>
  </si>
  <si>
    <t>1-1553</t>
  </si>
  <si>
    <t>1-961</t>
  </si>
  <si>
    <t>1-940</t>
  </si>
  <si>
    <t>22-92</t>
  </si>
  <si>
    <t>խողովակ Ø273x6մմ</t>
  </si>
  <si>
    <t>22-242</t>
  </si>
  <si>
    <t>Ժապ. Литкор НК-ГАЗ</t>
  </si>
  <si>
    <t>Ժապավեն  (РАМ)</t>
  </si>
  <si>
    <t>Մածիկ ТРАНСКОР-ГАЗ</t>
  </si>
  <si>
    <t>խողովակ Ø159x4.5մմ</t>
  </si>
  <si>
    <t>22-240</t>
  </si>
  <si>
    <t>22-91</t>
  </si>
  <si>
    <t>խողովակ Ø219x6մմ</t>
  </si>
  <si>
    <t>22-241</t>
  </si>
  <si>
    <t>բիտում</t>
  </si>
  <si>
    <t>պակլյա</t>
  </si>
  <si>
    <t>22-511   գ-0,25 կիրառ.</t>
  </si>
  <si>
    <t xml:space="preserve">25-473   </t>
  </si>
  <si>
    <t>1-965</t>
  </si>
  <si>
    <t>՝</t>
  </si>
  <si>
    <t>6-83</t>
  </si>
  <si>
    <t>ամրան</t>
  </si>
  <si>
    <t>22-90   գ=0.6 ВСН 452-84    կիրառ.</t>
  </si>
  <si>
    <t>գազ պրոպան-բութան</t>
  </si>
  <si>
    <t>լ</t>
  </si>
  <si>
    <t xml:space="preserve">H-4մ  </t>
  </si>
  <si>
    <t>Խրամուղու ետլիցք   ձեռքով</t>
  </si>
  <si>
    <t xml:space="preserve">խողովակ Ø89x4.0մմ  </t>
  </si>
  <si>
    <t>22-89</t>
  </si>
  <si>
    <t xml:space="preserve">խողովակ Ø133x4մմ  </t>
  </si>
  <si>
    <t xml:space="preserve">խողովակ Ø76x3.5մմ  </t>
  </si>
  <si>
    <t>22-432</t>
  </si>
  <si>
    <t>պողպատե կցաշուրթ</t>
  </si>
  <si>
    <t>22-385</t>
  </si>
  <si>
    <t xml:space="preserve">Սողնակային փական 125մմ </t>
  </si>
  <si>
    <t>22-89   գ=0.6 ВСН 452-84    կիրառ.</t>
  </si>
  <si>
    <t xml:space="preserve">H-3մ  </t>
  </si>
  <si>
    <t xml:space="preserve">H-1.5մ  </t>
  </si>
  <si>
    <t>22-430</t>
  </si>
  <si>
    <t>22-384</t>
  </si>
  <si>
    <t xml:space="preserve">Սողնակային փական 80մմ </t>
  </si>
  <si>
    <t>Село  Газанчи</t>
  </si>
  <si>
    <t>Разработка траншеи вручную в грунтах   III кат.</t>
  </si>
  <si>
    <t>Разработка траншеи экскаватором в грунтах III кат.</t>
  </si>
  <si>
    <t>Разработка траншеи экскаватором в грунтах IV кат.</t>
  </si>
  <si>
    <t>Разработка траншеи вручную в грунтах   Vр</t>
  </si>
  <si>
    <t xml:space="preserve">Обратная засыпка  траншеи  вручную </t>
  </si>
  <si>
    <t>Устройство мягкой подушки под  трубопровод (песок без примеси) толщ. 0.1м и обсыпка  толщ. 0.2м</t>
  </si>
  <si>
    <t>тн</t>
  </si>
  <si>
    <t>Привоз песка с расстояния 10км</t>
  </si>
  <si>
    <t xml:space="preserve">Погрузка лишнего грунта вручную  в автосамосвалы   </t>
  </si>
  <si>
    <t>Перевозка  до 3 км</t>
  </si>
  <si>
    <t xml:space="preserve">Монтаж газопровода d-159x4.5мм с испытанием  </t>
  </si>
  <si>
    <t xml:space="preserve">Антикоррозионная изоляция  газопровода  Ду 150мм  армированной мастичной изоляцией (РАМ) </t>
  </si>
  <si>
    <t xml:space="preserve">Монтаж футляра D-219x6мм в траншее
</t>
  </si>
  <si>
    <t xml:space="preserve">Антикоррозионная изоляция  футляра Ø219x6 мм  армированной мастичной изоляцией (РАМ) </t>
  </si>
  <si>
    <t xml:space="preserve">Монтаж футляра D-273x6мм в траншее
</t>
  </si>
  <si>
    <t xml:space="preserve">Антикоррозионная изоляция  футляра Ду250мм   армированной мастичной изоляцией (РАМ) </t>
  </si>
  <si>
    <t>Монтаж контрольной трубы d-32 мм</t>
  </si>
  <si>
    <t>Заделка концов футляра газопровода битумом</t>
  </si>
  <si>
    <t>Просвечивание сварных стыков газопровода  методом радиография</t>
  </si>
  <si>
    <t>Рытье ям вручную в грунтах III кат.</t>
  </si>
  <si>
    <t>Рытье ям вручную в грунтах  Vр категории</t>
  </si>
  <si>
    <t>Металл. конструкции под стоек (арматура AIII)</t>
  </si>
  <si>
    <t>Установка металлических стоек  d-133x3.5мм</t>
  </si>
  <si>
    <t>Грунтовка газопровода и стоек лаком ГФ – 021  2 раза</t>
  </si>
  <si>
    <t>Окраска газопровода и стоек антикоррозионной масляной краской 2 раза</t>
  </si>
  <si>
    <t>Монтаж надземного газопровода с испытанием d-159x4.5мм</t>
  </si>
  <si>
    <t xml:space="preserve">Монтаж надземного газопровода с испытанием d-89x4мм 
</t>
  </si>
  <si>
    <t xml:space="preserve">Резка трубы dу-150мм </t>
  </si>
  <si>
    <t xml:space="preserve"> Металлическая защитная сетка   H-4м  мест</t>
  </si>
  <si>
    <t xml:space="preserve"> Металлическая защитная сетка   H-3м  мест</t>
  </si>
  <si>
    <t xml:space="preserve"> Металлическая защитная сетка   H-1.5м  мест</t>
  </si>
  <si>
    <t>Село Бавра</t>
  </si>
  <si>
    <t>Установка металлических стоек  d-108x3.5мм</t>
  </si>
  <si>
    <t xml:space="preserve">Монтаж надземного газопровода с испытанием d-133x4мм </t>
  </si>
  <si>
    <t xml:space="preserve">Монтаж надземного газопровода с испытанием d-76x3.5мм  
</t>
  </si>
  <si>
    <t>Монтаж фланцев Ду125</t>
  </si>
  <si>
    <t>Монтаж задвижки Ду125</t>
  </si>
  <si>
    <t xml:space="preserve">Резка трубы dу-125мм </t>
  </si>
  <si>
    <t>Село Сарагюх</t>
  </si>
  <si>
    <t>Рытье ям вручную в грунтах Vр категории</t>
  </si>
  <si>
    <t>Монтаж фланцев Ду80</t>
  </si>
  <si>
    <t>Монтаж задвижки Ду80</t>
  </si>
  <si>
    <t xml:space="preserve">Ընդամենը  </t>
  </si>
  <si>
    <t>տն</t>
  </si>
  <si>
    <t>1-1552</t>
  </si>
  <si>
    <t>Շուկա</t>
  </si>
  <si>
    <t>օլիֆ</t>
  </si>
  <si>
    <t xml:space="preserve"> ՔԱՐԱԳԼՈՒԽ ԲՆԱԿԱՎԱՅՐ</t>
  </si>
  <si>
    <t>мիավորի արժեքը հազար դրաм</t>
  </si>
  <si>
    <t>22-431</t>
  </si>
  <si>
    <t xml:space="preserve">Կցաշուրթերի մոնտաժում dպ-100մմ </t>
  </si>
  <si>
    <t>Տեխնոլոգիական աշխատանքներ</t>
  </si>
  <si>
    <t>Հողային աշխատանքներ</t>
  </si>
  <si>
    <t>1-1635</t>
  </si>
  <si>
    <t>բիտումա-պոլիմերային մածիկ</t>
  </si>
  <si>
    <t>ապակեգործվածք</t>
  </si>
  <si>
    <t>փաթթոցային թուղթ</t>
  </si>
  <si>
    <t>22-429</t>
  </si>
  <si>
    <t>22-383</t>
  </si>
  <si>
    <r>
      <t>մ</t>
    </r>
    <r>
      <rPr>
        <vertAlign val="superscript"/>
        <sz val="8"/>
        <rFont val="Arial LatArm"/>
        <family val="2"/>
        <charset val="204"/>
      </rPr>
      <t>2</t>
    </r>
  </si>
  <si>
    <r>
      <t xml:space="preserve">              </t>
    </r>
    <r>
      <rPr>
        <b/>
        <sz val="11"/>
        <color theme="1"/>
        <rFont val="Sylfaen"/>
        <family val="1"/>
      </rPr>
      <t xml:space="preserve"> •  </t>
    </r>
    <r>
      <rPr>
        <sz val="11"/>
        <color theme="1"/>
        <rFont val="Sylfaen"/>
        <family val="1"/>
      </rPr>
      <t xml:space="preserve">“Ինֆորմացիոն տեղեկագիր” 10.2023թ.  շինարարական նյութերի, </t>
    </r>
  </si>
  <si>
    <t>Խրամուղու քանդում IV կարգի գրունտներում էքսկավատորով</t>
  </si>
  <si>
    <t>Խրամուղու քանդում Vp կարգի գրունտում ձեռքով</t>
  </si>
  <si>
    <t>Разработка траншеи вручную в грунтах Vp кат.</t>
  </si>
  <si>
    <t>1-992</t>
  </si>
  <si>
    <t>Խրամուղու քանդում VI կարգի գրունտներում հարվածահատ մուրճով</t>
  </si>
  <si>
    <t>Разработка траншеи вручную отбойным молотком в грунтах VI гр.</t>
  </si>
  <si>
    <t>1-993</t>
  </si>
  <si>
    <t>Խրամուղու քանդում VII կարգի գրունտներում հարվածահատ մուրճով</t>
  </si>
  <si>
    <t>Разработка траншеи вручную отбойным молотком в грунтах VII гр.</t>
  </si>
  <si>
    <t xml:space="preserve">Устройство подушки под трубу из мягкого грунта толщ. 10см (песок без примесей) и обсыпка сверху толщ. 20 см вручную 
</t>
  </si>
  <si>
    <t>0.1մ նստաշերտի ստեղծում խողովակի տակ և ծածկում (ավազ առանց խառնուրդի) ձեռքով</t>
  </si>
  <si>
    <t>շուկա, գնահաշ.</t>
  </si>
  <si>
    <t xml:space="preserve">VI կարգի գրունտի փխրեցում էքսկավատոր- հիդրոմուրճով </t>
  </si>
  <si>
    <t>Разработка грунта гидромолотом в грунтах VI категории</t>
  </si>
  <si>
    <t>1-1596</t>
  </si>
  <si>
    <r>
      <t>м</t>
    </r>
    <r>
      <rPr>
        <vertAlign val="superscript"/>
        <sz val="9"/>
        <rFont val="Times New Roman"/>
        <family val="1"/>
      </rPr>
      <t>3</t>
    </r>
  </si>
  <si>
    <t>VI</t>
  </si>
  <si>
    <t xml:space="preserve">VII կարգի գրունտի փխրեցում էքսկավատոր- հիդրոմուրճով </t>
  </si>
  <si>
    <t>Разработка грунта гидромолотом в грунтах VII категории</t>
  </si>
  <si>
    <t>Խրամուղու քանդում IV կարգի գրունտներում ձեռքով</t>
  </si>
  <si>
    <t>Разработка траншеи вручную в грунтах IV кат.</t>
  </si>
  <si>
    <t>Обратная засыпка траншеи бульдозером в грунтах III кат.</t>
  </si>
  <si>
    <t>Խրամուղու ետլիցք  բուլդոզերով</t>
  </si>
  <si>
    <t>1-1150</t>
  </si>
  <si>
    <t xml:space="preserve">Գրունտի տոփանում մեխանիզմով </t>
  </si>
  <si>
    <t>Трамбовка земли механизмом</t>
  </si>
  <si>
    <t>1-1554</t>
  </si>
  <si>
    <t xml:space="preserve">Փխրեցված գրունտի կողլիցքի իրականացում էքսկավատորով  </t>
  </si>
  <si>
    <t>Разработка траншеи экскаватором в грунтах VI кат. в отвал</t>
  </si>
  <si>
    <t>1-1705</t>
  </si>
  <si>
    <t xml:space="preserve">Գրունտի հարթեցում տեղում բուլդոզերով </t>
  </si>
  <si>
    <t xml:space="preserve">Разравнивание грунта на месте </t>
  </si>
  <si>
    <t>Ավելորդ գրունտի բարձում էքսկավատորով ինքնաթափ</t>
  </si>
  <si>
    <t>Погрузка лишнего грунта в автосамосвалы</t>
  </si>
  <si>
    <r>
      <t xml:space="preserve">Տեղափոխում </t>
    </r>
    <r>
      <rPr>
        <sz val="9"/>
        <color rgb="FFFF0000"/>
        <rFont val="Sylfaen"/>
        <family val="1"/>
      </rPr>
      <t>5</t>
    </r>
    <r>
      <rPr>
        <sz val="9"/>
        <rFont val="Sylfaen"/>
        <family val="1"/>
      </rPr>
      <t xml:space="preserve"> կմ</t>
    </r>
  </si>
  <si>
    <t>Перевозка на расстояние 5км</t>
  </si>
  <si>
    <t>22-88
գ-0.6</t>
  </si>
  <si>
    <t>Демонтаж трубы d-100мм</t>
  </si>
  <si>
    <t>22-88</t>
  </si>
  <si>
    <t>22-165</t>
  </si>
  <si>
    <t>Ստորգետնյա պողպատե խողովակների մեկուսացում բիտումա-պոլիմերային շերտով Dպ100մմ</t>
  </si>
  <si>
    <t>խողովակ Ø108x4մմ</t>
  </si>
  <si>
    <t>Պողպատե խողովակների տեղադրում խրամուղում փորձարկումով Ø108x4մմ</t>
  </si>
  <si>
    <t xml:space="preserve">Монтаж труб в траншее с испытанием Ø108x4мм 
</t>
  </si>
  <si>
    <t xml:space="preserve">Приварка фланцев dу100мм </t>
  </si>
  <si>
    <t xml:space="preserve">Монтаж задвижки dу100мм </t>
  </si>
  <si>
    <t xml:space="preserve">Սողնակային փական 100մմ </t>
  </si>
  <si>
    <t>Противокоррозионнօе покрытие битумно-полимерной мастикой труб dу-100мм</t>
  </si>
  <si>
    <t>Փականի ապամոնտաժում dպ-100մմ</t>
  </si>
  <si>
    <t>22-384 գ-0.6</t>
  </si>
  <si>
    <t xml:space="preserve">Демонтаж задвижки dу100мм </t>
  </si>
  <si>
    <t xml:space="preserve">Սողնակային փականի  տեղադրում 100մմ </t>
  </si>
  <si>
    <t>E6-15</t>
  </si>
  <si>
    <r>
      <t>մ</t>
    </r>
    <r>
      <rPr>
        <vertAlign val="superscript"/>
        <sz val="8"/>
        <rFont val="Arial LatArm"/>
        <family val="2"/>
        <charset val="204"/>
      </rPr>
      <t>3</t>
    </r>
  </si>
  <si>
    <t>Փականային հորերի վերանորոգում B15 (M200) դասի բետոնով</t>
  </si>
  <si>
    <t xml:space="preserve">բետոն B-15 (M200) </t>
  </si>
  <si>
    <t>E22-119</t>
  </si>
  <si>
    <t xml:space="preserve">Монтаж de110(PE) труб в траншее с испытанием  
</t>
  </si>
  <si>
    <t>խողովակ (PE)  d=110x10,0մմ</t>
  </si>
  <si>
    <t>Պոլիէթիլենե խամութային միացում տեղադրումով de110/20</t>
  </si>
  <si>
    <t>E22-366</t>
  </si>
  <si>
    <t>Խամութ-անցում de110/20</t>
  </si>
  <si>
    <t>Պոլիէթիլենե կցորդիչ միակողմանի արտաքին պարուրակով de20</t>
  </si>
  <si>
    <t>կցորդիչ  de20</t>
  </si>
  <si>
    <t xml:space="preserve">Պոլիէթիլենե de110(PE) 16մթն․ խողովակների տեղադրում խրամուղում փորձարկումով </t>
  </si>
  <si>
    <t xml:space="preserve">Պոլիէթիլենե de20(PE) 16մթն․ խողովակների տեղադրում խրամուղում փորձարկումով </t>
  </si>
  <si>
    <t>Պողպատե d-100մմ խողովակների ապամոնտաժում</t>
  </si>
  <si>
    <t>E22-117</t>
  </si>
  <si>
    <t>խողովակ (PE)  d=20x2,0մմ</t>
  </si>
  <si>
    <t xml:space="preserve">Монтаж de20(PE) труб в траншее с испытанием  
</t>
  </si>
  <si>
    <t xml:space="preserve">Պոլիէթիլենե de50(PE) 16մթն․ խողովակների տեղադրում խրամուղում փորձարկումով </t>
  </si>
  <si>
    <t>խողովակ (PE)  d=50x4,6մմ</t>
  </si>
  <si>
    <t>Չկազմատվող միացություն «պոլիէթիլեն - պողպատ» d=110/108 մմ</t>
  </si>
  <si>
    <t>Неразъемное соединение «полиэтилен-сталь» d-110/108мм</t>
  </si>
  <si>
    <t>Չկազմ. միացություն «Պէ-պ.»</t>
  </si>
  <si>
    <t>Е22-314</t>
  </si>
  <si>
    <t>ջուր</t>
  </si>
  <si>
    <r>
      <t>մ</t>
    </r>
    <r>
      <rPr>
        <vertAlign val="superscript"/>
        <sz val="8"/>
        <rFont val="Arial Armenian"/>
        <family val="2"/>
      </rPr>
      <t>3</t>
    </r>
  </si>
  <si>
    <t>Е22-312</t>
  </si>
  <si>
    <t>Խողովակի լվացում վարակազերծումով Dպ-100մմ</t>
  </si>
  <si>
    <t>Խողովակի լվացում վարակազերծումով  Dպ-20մմ</t>
  </si>
  <si>
    <t>Փական de20(PE)</t>
  </si>
  <si>
    <t>de110(PE) 45° անկյուն</t>
  </si>
  <si>
    <t>Եռաբաշխիչ de110/50</t>
  </si>
  <si>
    <t>Կցաշուրթ պոլիէթիլենե մետաղական տափողակով de50</t>
  </si>
  <si>
    <t>Կցաշուրթ ՊԷ de50</t>
  </si>
  <si>
    <t xml:space="preserve">Կցաշուրթերի մոնտաժում dպ-50մմ </t>
  </si>
  <si>
    <t xml:space="preserve">Приварка фланцев dу50мм </t>
  </si>
  <si>
    <t xml:space="preserve">Սեպավոր փականի  տեղադրում dպ-50մմ </t>
  </si>
  <si>
    <t xml:space="preserve">Սեպավոր փական փական 50մմ </t>
  </si>
  <si>
    <t>DN50(st) կարճախողովակ L=0,2մ</t>
  </si>
  <si>
    <t>Ձևավոր մասերի տեղադրում (եռաբաշխիչ)</t>
  </si>
  <si>
    <t>Установка фасонных частей (тройник)</t>
  </si>
  <si>
    <t>Պոլիէթիլենե միջադիր de110</t>
  </si>
  <si>
    <t>Ե/Բ հավաքովի կլոր հոր, D=1.5մ, H=1.8մ (ՋՀ-1)</t>
  </si>
  <si>
    <t>E22-446</t>
  </si>
  <si>
    <t>Ե/բ հավաքովի էլեմենտներից ջրամատակարարման կլոր դիտահորի պատրաստում Ф1,5մ ծածկի ու հատակի սալերով /1հատ/</t>
  </si>
  <si>
    <t>հավաք.ե/բ էլ.</t>
  </si>
  <si>
    <t xml:space="preserve">Պոլիմերավազային մտոց </t>
  </si>
  <si>
    <t>9-46</t>
  </si>
  <si>
    <t>Մետաղական աստիճան</t>
  </si>
  <si>
    <t>մետաղ. կոնստրուկցիաներ</t>
  </si>
  <si>
    <t>մոնտաժ իրեր</t>
  </si>
  <si>
    <t>հեղյուս</t>
  </si>
  <si>
    <t>7-768</t>
  </si>
  <si>
    <t>Ե/Բ հորի մետաղական էլեմենտներ և ներդիր տարրեր</t>
  </si>
  <si>
    <t>13-121 
գ-2</t>
  </si>
  <si>
    <t>Մետաղական մակերևույթների նախաներկում ГФ -021 2 շերտով</t>
  </si>
  <si>
    <t xml:space="preserve">նախաներկ ГФ - 021 </t>
  </si>
  <si>
    <t>15-614</t>
  </si>
  <si>
    <t>Մետաղական մակերևույթների յուղաներկում 2 անգամ</t>
  </si>
  <si>
    <t>բետոն B-7,5</t>
  </si>
  <si>
    <t xml:space="preserve">Թուջե մտոց </t>
  </si>
  <si>
    <t>Ե/Բ հավաքովի կլոր հոր, D=1.5մ, H=1.8մ (ՋՀ-1) 2հատ</t>
  </si>
  <si>
    <t>պայմ․</t>
  </si>
  <si>
    <t>E22-66</t>
  </si>
  <si>
    <t xml:space="preserve">ԵՂԵԳԻՍ  ՀԱՄԱՅՆՔԻ ՔԱՐԱԳԼՈՒԽ ԳՅՈՒՂԻ ՋՐԱՄԱՏԱԿԱՐԱՐՈՒՄ  </t>
  </si>
  <si>
    <t>Խրամուղու քանդում V կարգի գրունտներում էքսկավատորով</t>
  </si>
  <si>
    <t>Разработка траншеи экскаватором в грунтах V кат.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</si>
</sst>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#,##0.000"/>
    <numFmt numFmtId="167" formatCode=";;;"/>
    <numFmt numFmtId="168" formatCode="0.0"/>
    <numFmt numFmtId="169" formatCode="0.0000"/>
    <numFmt numFmtId="170" formatCode="0.00000"/>
    <numFmt numFmtId="171" formatCode="_-* #,##0.00_р_._-;\-* #,##0.00_р_._-;_-* &quot;-&quot;??_р_._-;_-@_-"/>
    <numFmt numFmtId="172" formatCode="_([$€]* #,##0.00_);_([$€]* \(#,##0.00\);_([$€]* &quot;-&quot;??_);_(@_)"/>
    <numFmt numFmtId="173" formatCode="#,##0.00000000000"/>
    <numFmt numFmtId="174" formatCode="#,##0.0"/>
  </numFmts>
  <fonts count="1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ylfaen"/>
      <family val="1"/>
    </font>
    <font>
      <sz val="11"/>
      <color theme="1"/>
      <name val="Sylfaen"/>
      <family val="1"/>
    </font>
    <font>
      <sz val="10"/>
      <color theme="1"/>
      <name val="Sylfaen"/>
      <family val="1"/>
    </font>
    <font>
      <b/>
      <sz val="14"/>
      <color theme="1"/>
      <name val="Sylfaen"/>
      <family val="1"/>
    </font>
    <font>
      <b/>
      <i/>
      <sz val="12"/>
      <color theme="1"/>
      <name val="Sylfaen"/>
      <family val="1"/>
    </font>
    <font>
      <b/>
      <sz val="11"/>
      <color theme="1"/>
      <name val="Sylfaen"/>
      <family val="1"/>
    </font>
    <font>
      <i/>
      <sz val="11"/>
      <color theme="1"/>
      <name val="Sylfaen"/>
      <family val="1"/>
    </font>
    <font>
      <sz val="10"/>
      <name val="Arial"/>
      <family val="2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4"/>
      <name val="Times New Roman"/>
      <family val="1"/>
      <charset val="204"/>
    </font>
    <font>
      <i/>
      <sz val="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family val="2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name val="Sylfaen"/>
      <family val="1"/>
    </font>
    <font>
      <b/>
      <i/>
      <sz val="10"/>
      <name val="Sylfaen"/>
      <family val="1"/>
    </font>
    <font>
      <sz val="8"/>
      <name val="Sylfaen"/>
      <family val="1"/>
    </font>
    <font>
      <sz val="9"/>
      <name val="Sylfaen"/>
      <family val="1"/>
    </font>
    <font>
      <sz val="10"/>
      <name val="Sylfaen"/>
      <family val="1"/>
    </font>
    <font>
      <b/>
      <i/>
      <sz val="11"/>
      <name val="Sylfaen"/>
      <family val="1"/>
    </font>
    <font>
      <b/>
      <i/>
      <sz val="8"/>
      <name val="Sylfaen"/>
      <family val="1"/>
    </font>
    <font>
      <b/>
      <sz val="12"/>
      <name val="Sylfaen"/>
      <family val="1"/>
    </font>
    <font>
      <b/>
      <sz val="9"/>
      <name val="Sylfaen"/>
      <family val="1"/>
    </font>
    <font>
      <i/>
      <sz val="8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i/>
      <sz val="9"/>
      <name val="Sylfaen"/>
      <family val="1"/>
    </font>
    <font>
      <b/>
      <i/>
      <sz val="9"/>
      <name val="Sylfaen"/>
      <family val="1"/>
    </font>
    <font>
      <i/>
      <sz val="9"/>
      <name val="Sylfaen"/>
      <family val="1"/>
      <charset val="204"/>
    </font>
    <font>
      <sz val="9"/>
      <name val="Sylfaen"/>
      <family val="1"/>
      <charset val="204"/>
    </font>
    <font>
      <b/>
      <i/>
      <sz val="10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b/>
      <i/>
      <sz val="9"/>
      <name val="Sylfaen"/>
      <family val="1"/>
      <charset val="204"/>
    </font>
    <font>
      <sz val="8"/>
      <name val="Sylfaen"/>
      <family val="1"/>
      <charset val="204"/>
    </font>
    <font>
      <b/>
      <sz val="8"/>
      <name val="Sylfaen"/>
      <family val="1"/>
      <charset val="204"/>
    </font>
    <font>
      <b/>
      <sz val="8"/>
      <name val="Sylfaen"/>
      <family val="1"/>
    </font>
    <font>
      <vertAlign val="superscript"/>
      <sz val="9"/>
      <name val="Sylfaen"/>
      <family val="1"/>
    </font>
    <font>
      <sz val="11"/>
      <color indexed="8"/>
      <name val="Calibri"/>
      <family val="2"/>
    </font>
    <font>
      <sz val="9"/>
      <name val="Arial Unicode"/>
      <family val="2"/>
      <charset val="204"/>
    </font>
    <font>
      <b/>
      <sz val="9"/>
      <name val="Sylfaen"/>
      <family val="1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sz val="8"/>
      <name val="Arial Unicode"/>
      <family val="2"/>
      <charset val="204"/>
    </font>
    <font>
      <sz val="8"/>
      <color theme="1"/>
      <name val="Sylfae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name val="Sylfaen"/>
      <family val="1"/>
    </font>
    <font>
      <i/>
      <sz val="10"/>
      <name val="Sylfaen"/>
      <family val="1"/>
      <charset val="204"/>
    </font>
    <font>
      <i/>
      <sz val="8"/>
      <name val="Sylfaen"/>
      <family val="1"/>
      <charset val="204"/>
    </font>
    <font>
      <sz val="9"/>
      <name val="Times New Roman"/>
      <family val="1"/>
    </font>
    <font>
      <sz val="10"/>
      <color theme="0"/>
      <name val="Sylfae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Arial Armenian"/>
      <family val="2"/>
    </font>
    <font>
      <b/>
      <sz val="9"/>
      <name val="Times New Roman"/>
      <family val="1"/>
    </font>
    <font>
      <sz val="9"/>
      <color indexed="9"/>
      <name val="Sylfaen"/>
      <family val="1"/>
    </font>
    <font>
      <vertAlign val="superscript"/>
      <sz val="8"/>
      <name val="Sylfaen"/>
      <family val="1"/>
    </font>
    <font>
      <sz val="9"/>
      <color indexed="9"/>
      <name val="Sylfaen"/>
      <family val="1"/>
      <charset val="204"/>
    </font>
    <font>
      <sz val="9"/>
      <color indexed="8"/>
      <name val="Sylfaen"/>
      <family val="1"/>
    </font>
    <font>
      <b/>
      <sz val="10"/>
      <color theme="0"/>
      <name val="Sylfaen"/>
      <family val="1"/>
    </font>
    <font>
      <sz val="8"/>
      <name val="Arial Armenian"/>
      <family val="2"/>
      <charset val="204"/>
    </font>
    <font>
      <i/>
      <sz val="12"/>
      <color theme="0"/>
      <name val="Times New Roman"/>
      <family val="1"/>
    </font>
    <font>
      <sz val="10"/>
      <name val="Arial LatArm"/>
      <family val="2"/>
      <charset val="204"/>
    </font>
    <font>
      <b/>
      <i/>
      <sz val="10"/>
      <name val="Arial Armenian"/>
      <family val="2"/>
    </font>
    <font>
      <sz val="9"/>
      <color theme="1"/>
      <name val="Sylfaen"/>
      <family val="1"/>
      <charset val="204"/>
    </font>
    <font>
      <b/>
      <i/>
      <sz val="12"/>
      <name val="Times New Roman"/>
      <family val="1"/>
    </font>
    <font>
      <sz val="7.5"/>
      <name val="Sylfaen"/>
      <family val="1"/>
    </font>
    <font>
      <b/>
      <sz val="14"/>
      <name val="Sylfaen"/>
      <family val="1"/>
    </font>
    <font>
      <sz val="9"/>
      <color rgb="FFFF0000"/>
      <name val="Sylfaen"/>
      <family val="1"/>
    </font>
    <font>
      <sz val="18"/>
      <name val="Sylfaen"/>
      <family val="1"/>
    </font>
    <font>
      <sz val="9"/>
      <color theme="0"/>
      <name val="Sylfaen"/>
      <family val="1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 LatArm"/>
      <family val="2"/>
      <charset val="204"/>
    </font>
    <font>
      <b/>
      <sz val="11"/>
      <color rgb="FFFF0000"/>
      <name val="Sylfaen"/>
      <family val="1"/>
    </font>
    <font>
      <sz val="8"/>
      <name val="Times New Roman"/>
      <family val="1"/>
    </font>
    <font>
      <b/>
      <i/>
      <sz val="11"/>
      <name val="Sylfaen"/>
      <family val="1"/>
      <charset val="204"/>
    </font>
    <font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8"/>
      <name val="Arial LatArm"/>
      <family val="2"/>
      <charset val="204"/>
    </font>
    <font>
      <vertAlign val="superscript"/>
      <sz val="8"/>
      <name val="Arial LatArm"/>
      <family val="2"/>
      <charset val="204"/>
    </font>
    <font>
      <vertAlign val="superscript"/>
      <sz val="9"/>
      <name val="Times New Roman"/>
      <family val="1"/>
    </font>
    <font>
      <sz val="8"/>
      <color theme="0"/>
      <name val="Sylfaen"/>
      <family val="1"/>
    </font>
    <font>
      <vertAlign val="superscript"/>
      <sz val="8"/>
      <name val="Arial Armenian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82">
    <xf numFmtId="0" fontId="0" fillId="0" borderId="0"/>
    <xf numFmtId="0" fontId="1" fillId="0" borderId="0"/>
    <xf numFmtId="0" fontId="9" fillId="0" borderId="0"/>
    <xf numFmtId="0" fontId="2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7" borderId="0" applyNumberFormat="0" applyBorder="0" applyAlignment="0" applyProtection="0"/>
    <xf numFmtId="0" fontId="62" fillId="10" borderId="0" applyNumberFormat="0" applyBorder="0" applyAlignment="0" applyProtection="0"/>
    <xf numFmtId="0" fontId="62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172" fontId="6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4" fillId="0" borderId="0"/>
    <xf numFmtId="0" fontId="9" fillId="0" borderId="0"/>
    <xf numFmtId="0" fontId="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1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64" fillId="0" borderId="0"/>
    <xf numFmtId="0" fontId="9" fillId="0" borderId="0"/>
    <xf numFmtId="0" fontId="1" fillId="0" borderId="0"/>
    <xf numFmtId="0" fontId="64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21" borderId="0" applyNumberFormat="0" applyBorder="0" applyAlignment="0" applyProtection="0"/>
    <xf numFmtId="0" fontId="66" fillId="9" borderId="72" applyNumberFormat="0" applyAlignment="0" applyProtection="0"/>
    <xf numFmtId="0" fontId="67" fillId="22" borderId="73" applyNumberFormat="0" applyAlignment="0" applyProtection="0"/>
    <xf numFmtId="0" fontId="68" fillId="22" borderId="72" applyNumberFormat="0" applyAlignment="0" applyProtection="0"/>
    <xf numFmtId="167" fontId="1" fillId="0" borderId="0" applyFont="0" applyFill="0" applyBorder="0" applyAlignment="0" applyProtection="0"/>
    <xf numFmtId="0" fontId="69" fillId="0" borderId="74" applyNumberFormat="0" applyFill="0" applyAlignment="0" applyProtection="0"/>
    <xf numFmtId="0" fontId="70" fillId="0" borderId="75" applyNumberFormat="0" applyFill="0" applyAlignment="0" applyProtection="0"/>
    <xf numFmtId="0" fontId="71" fillId="0" borderId="76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77" applyNumberFormat="0" applyFill="0" applyAlignment="0" applyProtection="0"/>
    <xf numFmtId="0" fontId="73" fillId="23" borderId="78" applyNumberFormat="0" applyAlignment="0" applyProtection="0"/>
    <xf numFmtId="0" fontId="74" fillId="0" borderId="0" applyNumberFormat="0" applyFill="0" applyBorder="0" applyAlignment="0" applyProtection="0"/>
    <xf numFmtId="0" fontId="75" fillId="24" borderId="0" applyNumberFormat="0" applyBorder="0" applyAlignment="0" applyProtection="0"/>
    <xf numFmtId="0" fontId="1" fillId="0" borderId="0"/>
    <xf numFmtId="0" fontId="64" fillId="0" borderId="0"/>
    <xf numFmtId="0" fontId="21" fillId="0" borderId="0"/>
    <xf numFmtId="0" fontId="76" fillId="0" borderId="0"/>
    <xf numFmtId="0" fontId="64" fillId="0" borderId="0"/>
    <xf numFmtId="0" fontId="77" fillId="5" borderId="0" applyNumberFormat="0" applyBorder="0" applyAlignment="0" applyProtection="0"/>
    <xf numFmtId="0" fontId="78" fillId="0" borderId="0" applyNumberFormat="0" applyFill="0" applyBorder="0" applyAlignment="0" applyProtection="0"/>
    <xf numFmtId="0" fontId="62" fillId="25" borderId="79" applyNumberFormat="0" applyFont="0" applyAlignment="0" applyProtection="0"/>
    <xf numFmtId="0" fontId="62" fillId="25" borderId="79" applyNumberFormat="0" applyFont="0" applyAlignment="0" applyProtection="0"/>
    <xf numFmtId="0" fontId="79" fillId="0" borderId="80" applyNumberFormat="0" applyFill="0" applyAlignment="0" applyProtection="0"/>
    <xf numFmtId="0" fontId="80" fillId="0" borderId="0" applyNumberFormat="0" applyFill="0" applyBorder="0" applyAlignment="0" applyProtection="0"/>
    <xf numFmtId="171" fontId="21" fillId="0" borderId="0" applyFont="0" applyFill="0" applyBorder="0" applyAlignment="0" applyProtection="0"/>
    <xf numFmtId="0" fontId="81" fillId="6" borderId="0" applyNumberFormat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</cellStyleXfs>
  <cellXfs count="1362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5" fillId="0" borderId="0" xfId="1" applyFont="1" applyAlignment="1">
      <alignment vertical="center" wrapText="1"/>
    </xf>
    <xf numFmtId="2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horizontal="right" vertical="center"/>
    </xf>
    <xf numFmtId="0" fontId="10" fillId="0" borderId="0" xfId="2" applyFont="1" applyFill="1"/>
    <xf numFmtId="0" fontId="11" fillId="0" borderId="0" xfId="2" applyFont="1" applyFill="1"/>
    <xf numFmtId="0" fontId="10" fillId="0" borderId="0" xfId="2" applyFont="1"/>
    <xf numFmtId="0" fontId="13" fillId="0" borderId="0" xfId="2" applyFont="1" applyFill="1" applyAlignment="1"/>
    <xf numFmtId="0" fontId="14" fillId="0" borderId="0" xfId="2" applyFont="1" applyFill="1" applyAlignment="1"/>
    <xf numFmtId="0" fontId="15" fillId="0" borderId="0" xfId="2" applyFont="1" applyFill="1" applyAlignment="1">
      <alignment horizontal="center"/>
    </xf>
    <xf numFmtId="0" fontId="10" fillId="0" borderId="0" xfId="2" applyFont="1" applyFill="1" applyBorder="1"/>
    <xf numFmtId="4" fontId="14" fillId="0" borderId="1" xfId="2" applyNumberFormat="1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6" fillId="0" borderId="0" xfId="2" applyFont="1" applyFill="1"/>
    <xf numFmtId="0" fontId="17" fillId="0" borderId="0" xfId="2" applyFont="1" applyFill="1"/>
    <xf numFmtId="0" fontId="16" fillId="0" borderId="0" xfId="2" applyFont="1" applyFill="1" applyAlignment="1">
      <alignment horizontal="center"/>
    </xf>
    <xf numFmtId="0" fontId="12" fillId="0" borderId="0" xfId="2" applyFont="1" applyFill="1"/>
    <xf numFmtId="0" fontId="16" fillId="0" borderId="0" xfId="2" applyFont="1"/>
    <xf numFmtId="2" fontId="10" fillId="0" borderId="0" xfId="2" applyNumberFormat="1" applyFont="1" applyFill="1" applyBorder="1" applyAlignment="1">
      <alignment horizontal="center"/>
    </xf>
    <xf numFmtId="0" fontId="11" fillId="0" borderId="0" xfId="2" applyFont="1" applyFill="1" applyBorder="1"/>
    <xf numFmtId="0" fontId="19" fillId="0" borderId="0" xfId="2" applyFont="1" applyFill="1" applyAlignment="1">
      <alignment horizontal="centerContinuous" wrapText="1"/>
    </xf>
    <xf numFmtId="0" fontId="18" fillId="0" borderId="0" xfId="2" applyFont="1" applyFill="1"/>
    <xf numFmtId="0" fontId="20" fillId="0" borderId="0" xfId="2" applyFont="1" applyFill="1"/>
    <xf numFmtId="0" fontId="18" fillId="0" borderId="0" xfId="2" applyFont="1"/>
    <xf numFmtId="0" fontId="18" fillId="0" borderId="0" xfId="2" applyFont="1" applyFill="1" applyBorder="1" applyAlignment="1">
      <alignment horizontal="centerContinuous" vertical="top"/>
    </xf>
    <xf numFmtId="0" fontId="10" fillId="0" borderId="2" xfId="2" applyFont="1" applyFill="1" applyBorder="1"/>
    <xf numFmtId="0" fontId="18" fillId="3" borderId="9" xfId="2" applyFont="1" applyFill="1" applyBorder="1" applyAlignment="1">
      <alignment horizontal="center"/>
    </xf>
    <xf numFmtId="0" fontId="14" fillId="0" borderId="10" xfId="2" applyFont="1" applyBorder="1" applyAlignment="1">
      <alignment horizontal="centerContinuous" vertical="center" wrapText="1"/>
    </xf>
    <xf numFmtId="0" fontId="14" fillId="0" borderId="11" xfId="2" applyFont="1" applyBorder="1" applyAlignment="1">
      <alignment horizontal="centerContinuous" vertical="center" wrapText="1"/>
    </xf>
    <xf numFmtId="0" fontId="27" fillId="0" borderId="11" xfId="2" applyFont="1" applyBorder="1" applyAlignment="1">
      <alignment horizontal="centerContinuous" vertical="center" wrapText="1"/>
    </xf>
    <xf numFmtId="0" fontId="14" fillId="3" borderId="12" xfId="2" applyFont="1" applyFill="1" applyBorder="1" applyAlignment="1">
      <alignment horizontal="centerContinuous" vertical="center" wrapText="1"/>
    </xf>
    <xf numFmtId="0" fontId="10" fillId="2" borderId="13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 wrapText="1"/>
    </xf>
    <xf numFmtId="4" fontId="10" fillId="2" borderId="14" xfId="2" applyNumberFormat="1" applyFont="1" applyFill="1" applyBorder="1" applyAlignment="1">
      <alignment vertical="center"/>
    </xf>
    <xf numFmtId="4" fontId="11" fillId="2" borderId="14" xfId="2" applyNumberFormat="1" applyFont="1" applyFill="1" applyBorder="1" applyAlignment="1">
      <alignment vertical="center"/>
    </xf>
    <xf numFmtId="4" fontId="28" fillId="2" borderId="14" xfId="2" applyNumberFormat="1" applyFont="1" applyFill="1" applyBorder="1" applyAlignment="1">
      <alignment vertical="center"/>
    </xf>
    <xf numFmtId="4" fontId="10" fillId="3" borderId="15" xfId="2" applyNumberFormat="1" applyFont="1" applyFill="1" applyBorder="1" applyAlignment="1">
      <alignment vertical="center"/>
    </xf>
    <xf numFmtId="0" fontId="10" fillId="2" borderId="0" xfId="2" applyFont="1" applyFill="1"/>
    <xf numFmtId="2" fontId="10" fillId="2" borderId="14" xfId="2" applyNumberFormat="1" applyFont="1" applyFill="1" applyBorder="1" applyAlignment="1">
      <alignment vertical="center"/>
    </xf>
    <xf numFmtId="0" fontId="14" fillId="2" borderId="13" xfId="2" applyFont="1" applyFill="1" applyBorder="1" applyAlignment="1">
      <alignment horizontal="center" vertical="center"/>
    </xf>
    <xf numFmtId="164" fontId="14" fillId="2" borderId="14" xfId="2" applyNumberFormat="1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 wrapText="1"/>
    </xf>
    <xf numFmtId="4" fontId="14" fillId="2" borderId="14" xfId="2" applyNumberFormat="1" applyFont="1" applyFill="1" applyBorder="1" applyAlignment="1">
      <alignment vertical="center"/>
    </xf>
    <xf numFmtId="4" fontId="14" fillId="3" borderId="15" xfId="2" applyNumberFormat="1" applyFont="1" applyFill="1" applyBorder="1" applyAlignment="1">
      <alignment vertical="center"/>
    </xf>
    <xf numFmtId="2" fontId="14" fillId="2" borderId="0" xfId="2" applyNumberFormat="1" applyFont="1" applyFill="1"/>
    <xf numFmtId="0" fontId="14" fillId="2" borderId="0" xfId="2" applyFont="1" applyFill="1"/>
    <xf numFmtId="0" fontId="14" fillId="0" borderId="13" xfId="2" applyFont="1" applyBorder="1" applyAlignment="1">
      <alignment horizontal="centerContinuous" vertical="center" wrapText="1"/>
    </xf>
    <xf numFmtId="0" fontId="14" fillId="0" borderId="14" xfId="2" applyFont="1" applyBorder="1" applyAlignment="1">
      <alignment horizontal="centerContinuous" vertical="center" wrapText="1"/>
    </xf>
    <xf numFmtId="4" fontId="14" fillId="0" borderId="14" xfId="2" applyNumberFormat="1" applyFont="1" applyBorder="1" applyAlignment="1">
      <alignment horizontal="centerContinuous" vertical="center" wrapText="1"/>
    </xf>
    <xf numFmtId="4" fontId="27" fillId="0" borderId="14" xfId="2" applyNumberFormat="1" applyFont="1" applyBorder="1" applyAlignment="1">
      <alignment horizontal="centerContinuous" vertical="center" wrapText="1"/>
    </xf>
    <xf numFmtId="4" fontId="14" fillId="3" borderId="15" xfId="2" applyNumberFormat="1" applyFont="1" applyFill="1" applyBorder="1" applyAlignment="1">
      <alignment horizontal="centerContinuous" vertical="center" wrapText="1"/>
    </xf>
    <xf numFmtId="4" fontId="29" fillId="2" borderId="14" xfId="2" applyNumberFormat="1" applyFont="1" applyFill="1" applyBorder="1" applyAlignment="1">
      <alignment vertical="center"/>
    </xf>
    <xf numFmtId="4" fontId="10" fillId="0" borderId="14" xfId="2" applyNumberFormat="1" applyFont="1" applyFill="1" applyBorder="1" applyAlignment="1">
      <alignment vertical="center"/>
    </xf>
    <xf numFmtId="4" fontId="10" fillId="0" borderId="15" xfId="2" applyNumberFormat="1" applyFont="1" applyFill="1" applyBorder="1" applyAlignment="1">
      <alignment vertical="center"/>
    </xf>
    <xf numFmtId="164" fontId="10" fillId="2" borderId="14" xfId="2" applyNumberFormat="1" applyFont="1" applyFill="1" applyBorder="1" applyAlignment="1">
      <alignment horizontal="center" vertical="center"/>
    </xf>
    <xf numFmtId="2" fontId="10" fillId="2" borderId="0" xfId="2" applyNumberFormat="1" applyFont="1" applyFill="1"/>
    <xf numFmtId="0" fontId="14" fillId="2" borderId="13" xfId="2" applyFont="1" applyFill="1" applyBorder="1" applyAlignment="1">
      <alignment horizontal="centerContinuous" vertical="center" wrapText="1"/>
    </xf>
    <xf numFmtId="0" fontId="14" fillId="2" borderId="14" xfId="2" applyFont="1" applyFill="1" applyBorder="1" applyAlignment="1">
      <alignment horizontal="centerContinuous" vertical="center" wrapText="1"/>
    </xf>
    <xf numFmtId="4" fontId="14" fillId="2" borderId="14" xfId="2" applyNumberFormat="1" applyFont="1" applyFill="1" applyBorder="1" applyAlignment="1">
      <alignment horizontal="centerContinuous" vertical="center" wrapText="1"/>
    </xf>
    <xf numFmtId="4" fontId="27" fillId="2" borderId="14" xfId="2" applyNumberFormat="1" applyFont="1" applyFill="1" applyBorder="1" applyAlignment="1">
      <alignment horizontal="centerContinuous" vertical="center" wrapText="1"/>
    </xf>
    <xf numFmtId="10" fontId="10" fillId="2" borderId="14" xfId="2" applyNumberFormat="1" applyFont="1" applyFill="1" applyBorder="1" applyAlignment="1">
      <alignment horizontal="center" vertical="center"/>
    </xf>
    <xf numFmtId="4" fontId="10" fillId="2" borderId="0" xfId="2" applyNumberFormat="1" applyFont="1" applyFill="1"/>
    <xf numFmtId="9" fontId="10" fillId="2" borderId="14" xfId="2" applyNumberFormat="1" applyFont="1" applyFill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9" fontId="14" fillId="0" borderId="14" xfId="2" applyNumberFormat="1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4" fontId="14" fillId="0" borderId="14" xfId="2" applyNumberFormat="1" applyFont="1" applyBorder="1" applyAlignment="1">
      <alignment horizontal="right" vertical="center"/>
    </xf>
    <xf numFmtId="4" fontId="11" fillId="0" borderId="14" xfId="2" applyNumberFormat="1" applyFont="1" applyBorder="1" applyAlignment="1">
      <alignment horizontal="right" vertical="center"/>
    </xf>
    <xf numFmtId="0" fontId="14" fillId="0" borderId="0" xfId="2" applyFont="1"/>
    <xf numFmtId="0" fontId="14" fillId="3" borderId="13" xfId="2" applyFont="1" applyFill="1" applyBorder="1" applyAlignment="1">
      <alignment horizontal="center" vertical="center"/>
    </xf>
    <xf numFmtId="164" fontId="14" fillId="3" borderId="14" xfId="2" applyNumberFormat="1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 wrapText="1"/>
    </xf>
    <xf numFmtId="4" fontId="14" fillId="3" borderId="14" xfId="2" applyNumberFormat="1" applyFont="1" applyFill="1" applyBorder="1" applyAlignment="1">
      <alignment vertical="center"/>
    </xf>
    <xf numFmtId="4" fontId="11" fillId="3" borderId="14" xfId="2" applyNumberFormat="1" applyFont="1" applyFill="1" applyBorder="1" applyAlignment="1">
      <alignment vertical="center"/>
    </xf>
    <xf numFmtId="164" fontId="10" fillId="2" borderId="14" xfId="2" applyNumberFormat="1" applyFont="1" applyFill="1" applyBorder="1" applyAlignment="1">
      <alignment horizontal="center" vertical="center" wrapText="1"/>
    </xf>
    <xf numFmtId="4" fontId="10" fillId="3" borderId="15" xfId="4" applyNumberFormat="1" applyFont="1" applyFill="1" applyBorder="1"/>
    <xf numFmtId="166" fontId="10" fillId="2" borderId="14" xfId="4" applyNumberFormat="1" applyFont="1" applyFill="1" applyBorder="1"/>
    <xf numFmtId="0" fontId="10" fillId="2" borderId="1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4" fontId="10" fillId="2" borderId="7" xfId="2" applyNumberFormat="1" applyFont="1" applyFill="1" applyBorder="1" applyAlignment="1">
      <alignment vertical="center"/>
    </xf>
    <xf numFmtId="4" fontId="11" fillId="2" borderId="7" xfId="2" applyNumberFormat="1" applyFont="1" applyFill="1" applyBorder="1" applyAlignment="1">
      <alignment vertical="center"/>
    </xf>
    <xf numFmtId="4" fontId="10" fillId="2" borderId="7" xfId="4" applyNumberFormat="1" applyFont="1" applyFill="1" applyBorder="1"/>
    <xf numFmtId="4" fontId="10" fillId="3" borderId="8" xfId="4" applyNumberFormat="1" applyFont="1" applyFill="1" applyBorder="1"/>
    <xf numFmtId="0" fontId="10" fillId="2" borderId="17" xfId="2" applyFont="1" applyFill="1" applyBorder="1" applyAlignment="1">
      <alignment horizontal="center" vertical="center"/>
    </xf>
    <xf numFmtId="9" fontId="10" fillId="2" borderId="18" xfId="2" applyNumberFormat="1" applyFont="1" applyFill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 wrapText="1"/>
    </xf>
    <xf numFmtId="4" fontId="10" fillId="2" borderId="20" xfId="2" applyNumberFormat="1" applyFont="1" applyFill="1" applyBorder="1" applyAlignment="1">
      <alignment vertical="center"/>
    </xf>
    <xf numFmtId="4" fontId="11" fillId="2" borderId="20" xfId="2" applyNumberFormat="1" applyFont="1" applyFill="1" applyBorder="1" applyAlignment="1">
      <alignment vertical="center"/>
    </xf>
    <xf numFmtId="4" fontId="10" fillId="2" borderId="21" xfId="4" applyNumberFormat="1" applyFont="1" applyFill="1" applyBorder="1"/>
    <xf numFmtId="4" fontId="10" fillId="3" borderId="22" xfId="4" applyNumberFormat="1" applyFont="1" applyFill="1" applyBorder="1"/>
    <xf numFmtId="0" fontId="10" fillId="3" borderId="23" xfId="2" applyFont="1" applyFill="1" applyBorder="1" applyAlignment="1">
      <alignment horizontal="center" vertical="center"/>
    </xf>
    <xf numFmtId="4" fontId="14" fillId="3" borderId="9" xfId="2" applyNumberFormat="1" applyFont="1" applyFill="1" applyBorder="1" applyAlignment="1">
      <alignment vertical="center"/>
    </xf>
    <xf numFmtId="4" fontId="11" fillId="3" borderId="9" xfId="2" applyNumberFormat="1" applyFont="1" applyFill="1" applyBorder="1" applyAlignment="1">
      <alignment vertical="center"/>
    </xf>
    <xf numFmtId="2" fontId="10" fillId="0" borderId="0" xfId="2" applyNumberFormat="1" applyFont="1"/>
    <xf numFmtId="0" fontId="11" fillId="0" borderId="0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2" fontId="27" fillId="0" borderId="0" xfId="2" applyNumberFormat="1" applyFont="1" applyFill="1" applyBorder="1" applyAlignment="1">
      <alignment vertical="center"/>
    </xf>
    <xf numFmtId="165" fontId="27" fillId="0" borderId="0" xfId="2" applyNumberFormat="1" applyFont="1" applyFill="1" applyBorder="1" applyAlignment="1">
      <alignment vertical="center"/>
    </xf>
    <xf numFmtId="0" fontId="10" fillId="0" borderId="0" xfId="2" applyFont="1" applyBorder="1"/>
    <xf numFmtId="0" fontId="10" fillId="0" borderId="0" xfId="2" applyFont="1" applyFill="1" applyAlignment="1">
      <alignment horizontal="right"/>
    </xf>
    <xf numFmtId="0" fontId="10" fillId="0" borderId="1" xfId="2" applyFont="1" applyBorder="1"/>
    <xf numFmtId="0" fontId="10" fillId="0" borderId="1" xfId="2" applyFont="1" applyFill="1" applyBorder="1" applyAlignment="1">
      <alignment horizontal="center"/>
    </xf>
    <xf numFmtId="0" fontId="30" fillId="0" borderId="0" xfId="2" applyFont="1" applyBorder="1"/>
    <xf numFmtId="2" fontId="30" fillId="0" borderId="0" xfId="2" applyNumberFormat="1" applyFont="1" applyBorder="1" applyAlignment="1">
      <alignment horizontal="center" vertical="center"/>
    </xf>
    <xf numFmtId="0" fontId="10" fillId="0" borderId="0" xfId="2" applyFont="1" applyFill="1" applyAlignment="1"/>
    <xf numFmtId="0" fontId="10" fillId="0" borderId="0" xfId="2" applyFont="1" applyAlignment="1">
      <alignment horizontal="right"/>
    </xf>
    <xf numFmtId="2" fontId="10" fillId="0" borderId="0" xfId="2" applyNumberFormat="1" applyFont="1" applyAlignment="1">
      <alignment horizontal="left"/>
    </xf>
    <xf numFmtId="0" fontId="11" fillId="0" borderId="0" xfId="2" applyFont="1" applyAlignment="1">
      <alignment horizontal="right"/>
    </xf>
    <xf numFmtId="165" fontId="10" fillId="0" borderId="0" xfId="2" applyNumberFormat="1" applyFont="1"/>
    <xf numFmtId="165" fontId="11" fillId="0" borderId="0" xfId="2" applyNumberFormat="1" applyFont="1"/>
    <xf numFmtId="0" fontId="11" fillId="0" borderId="0" xfId="2" applyFont="1"/>
    <xf numFmtId="2" fontId="34" fillId="2" borderId="0" xfId="2" applyNumberFormat="1" applyFont="1" applyFill="1" applyBorder="1" applyAlignment="1">
      <alignment horizontal="left"/>
    </xf>
    <xf numFmtId="167" fontId="35" fillId="2" borderId="0" xfId="2" applyNumberFormat="1" applyFont="1" applyFill="1"/>
    <xf numFmtId="0" fontId="35" fillId="2" borderId="0" xfId="2" applyFont="1" applyFill="1"/>
    <xf numFmtId="0" fontId="0" fillId="2" borderId="26" xfId="0" applyFill="1" applyBorder="1" applyAlignment="1"/>
    <xf numFmtId="0" fontId="36" fillId="2" borderId="0" xfId="2" applyFont="1" applyFill="1" applyBorder="1" applyAlignment="1">
      <alignment horizontal="center" vertical="center"/>
    </xf>
    <xf numFmtId="0" fontId="36" fillId="2" borderId="0" xfId="2" applyFont="1" applyFill="1" applyBorder="1" applyAlignment="1"/>
    <xf numFmtId="0" fontId="35" fillId="2" borderId="0" xfId="2" applyFont="1" applyFill="1" applyBorder="1"/>
    <xf numFmtId="0" fontId="35" fillId="2" borderId="0" xfId="2" applyFont="1" applyFill="1" applyBorder="1" applyAlignment="1">
      <alignment horizontal="right"/>
    </xf>
    <xf numFmtId="0" fontId="35" fillId="2" borderId="26" xfId="2" applyFont="1" applyFill="1" applyBorder="1"/>
    <xf numFmtId="0" fontId="34" fillId="2" borderId="0" xfId="2" applyFont="1" applyFill="1" applyBorder="1"/>
    <xf numFmtId="0" fontId="34" fillId="2" borderId="0" xfId="2" applyFont="1" applyFill="1" applyBorder="1" applyAlignment="1">
      <alignment horizontal="left" vertical="center"/>
    </xf>
    <xf numFmtId="2" fontId="34" fillId="2" borderId="0" xfId="2" applyNumberFormat="1" applyFont="1" applyFill="1" applyBorder="1"/>
    <xf numFmtId="0" fontId="39" fillId="2" borderId="0" xfId="2" applyFont="1" applyFill="1" applyBorder="1" applyAlignment="1"/>
    <xf numFmtId="0" fontId="31" fillId="2" borderId="0" xfId="2" applyFont="1" applyFill="1" applyBorder="1" applyAlignment="1">
      <alignment horizontal="center" vertical="center"/>
    </xf>
    <xf numFmtId="167" fontId="38" fillId="2" borderId="0" xfId="2" applyNumberFormat="1" applyFont="1" applyFill="1" applyAlignment="1"/>
    <xf numFmtId="0" fontId="33" fillId="2" borderId="26" xfId="2" applyFont="1" applyFill="1" applyBorder="1" applyAlignment="1"/>
    <xf numFmtId="0" fontId="0" fillId="2" borderId="26" xfId="0" applyFill="1" applyBorder="1"/>
    <xf numFmtId="168" fontId="0" fillId="2" borderId="26" xfId="0" applyNumberFormat="1" applyFill="1" applyBorder="1"/>
    <xf numFmtId="0" fontId="38" fillId="2" borderId="0" xfId="2" applyFont="1" applyFill="1" applyAlignment="1"/>
    <xf numFmtId="0" fontId="35" fillId="2" borderId="0" xfId="2" applyFont="1" applyFill="1" applyBorder="1" applyAlignment="1"/>
    <xf numFmtId="0" fontId="34" fillId="2" borderId="0" xfId="2" applyFont="1" applyFill="1" applyBorder="1" applyAlignment="1"/>
    <xf numFmtId="2" fontId="34" fillId="2" borderId="0" xfId="2" applyNumberFormat="1" applyFont="1" applyFill="1" applyBorder="1" applyAlignment="1"/>
    <xf numFmtId="167" fontId="35" fillId="2" borderId="0" xfId="2" applyNumberFormat="1" applyFont="1" applyFill="1" applyAlignment="1"/>
    <xf numFmtId="0" fontId="35" fillId="2" borderId="26" xfId="2" applyFont="1" applyFill="1" applyBorder="1" applyAlignment="1"/>
    <xf numFmtId="0" fontId="35" fillId="2" borderId="0" xfId="2" applyFont="1" applyFill="1" applyAlignment="1"/>
    <xf numFmtId="169" fontId="0" fillId="2" borderId="26" xfId="0" applyNumberFormat="1" applyFill="1" applyBorder="1"/>
    <xf numFmtId="0" fontId="42" fillId="2" borderId="0" xfId="2" applyFont="1" applyFill="1" applyBorder="1" applyAlignment="1">
      <alignment horizontal="left"/>
    </xf>
    <xf numFmtId="0" fontId="35" fillId="2" borderId="0" xfId="2" applyFont="1" applyFill="1" applyBorder="1" applyAlignment="1">
      <alignment horizontal="center"/>
    </xf>
    <xf numFmtId="0" fontId="42" fillId="2" borderId="0" xfId="2" applyFont="1" applyFill="1" applyBorder="1" applyAlignment="1"/>
    <xf numFmtId="0" fontId="35" fillId="2" borderId="0" xfId="2" applyFont="1" applyFill="1" applyBorder="1" applyAlignment="1">
      <alignment horizontal="left" vertical="center"/>
    </xf>
    <xf numFmtId="0" fontId="43" fillId="2" borderId="0" xfId="2" applyFont="1" applyFill="1" applyBorder="1" applyAlignment="1">
      <alignment horizontal="left"/>
    </xf>
    <xf numFmtId="14" fontId="34" fillId="2" borderId="0" xfId="2" applyNumberFormat="1" applyFont="1" applyFill="1" applyBorder="1" applyAlignment="1">
      <alignment horizontal="left" vertical="center"/>
    </xf>
    <xf numFmtId="14" fontId="42" fillId="2" borderId="0" xfId="2" applyNumberFormat="1" applyFont="1" applyFill="1" applyBorder="1" applyAlignment="1">
      <alignment horizontal="left"/>
    </xf>
    <xf numFmtId="2" fontId="34" fillId="2" borderId="0" xfId="2" applyNumberFormat="1" applyFont="1" applyFill="1" applyBorder="1" applyAlignment="1">
      <alignment horizontal="left" vertical="center"/>
    </xf>
    <xf numFmtId="0" fontId="45" fillId="2" borderId="0" xfId="2" applyFont="1" applyFill="1" applyBorder="1" applyAlignment="1">
      <alignment horizontal="left"/>
    </xf>
    <xf numFmtId="0" fontId="46" fillId="2" borderId="0" xfId="2" applyFont="1" applyFill="1" applyBorder="1" applyAlignment="1">
      <alignment horizontal="left"/>
    </xf>
    <xf numFmtId="0" fontId="48" fillId="2" borderId="0" xfId="2" applyFont="1" applyFill="1" applyBorder="1" applyAlignment="1">
      <alignment horizontal="center"/>
    </xf>
    <xf numFmtId="2" fontId="46" fillId="2" borderId="0" xfId="2" applyNumberFormat="1" applyFont="1" applyFill="1" applyBorder="1" applyAlignment="1"/>
    <xf numFmtId="0" fontId="48" fillId="2" borderId="0" xfId="2" applyFont="1" applyFill="1" applyAlignment="1"/>
    <xf numFmtId="0" fontId="46" fillId="2" borderId="0" xfId="2" applyFont="1" applyFill="1" applyBorder="1" applyAlignment="1">
      <alignment horizontal="left" vertical="center"/>
    </xf>
    <xf numFmtId="0" fontId="33" fillId="2" borderId="0" xfId="2" applyFont="1" applyFill="1"/>
    <xf numFmtId="0" fontId="33" fillId="2" borderId="0" xfId="2" applyFont="1" applyFill="1" applyAlignment="1">
      <alignment horizontal="center" vertical="center"/>
    </xf>
    <xf numFmtId="0" fontId="34" fillId="2" borderId="0" xfId="0" applyFont="1" applyFill="1"/>
    <xf numFmtId="0" fontId="34" fillId="2" borderId="0" xfId="0" applyNumberFormat="1" applyFont="1" applyFill="1" applyAlignment="1">
      <alignment vertical="top"/>
    </xf>
    <xf numFmtId="0" fontId="33" fillId="2" borderId="0" xfId="2" applyFont="1" applyFill="1" applyBorder="1" applyAlignment="1">
      <alignment horizontal="center" vertical="center"/>
    </xf>
    <xf numFmtId="0" fontId="3" fillId="2" borderId="0" xfId="2" applyFont="1" applyFill="1"/>
    <xf numFmtId="0" fontId="56" fillId="2" borderId="0" xfId="2" applyNumberFormat="1" applyFont="1" applyFill="1" applyBorder="1" applyAlignment="1">
      <alignment horizontal="center" vertical="top"/>
    </xf>
    <xf numFmtId="0" fontId="56" fillId="2" borderId="0" xfId="2" applyNumberFormat="1" applyFont="1" applyFill="1" applyBorder="1" applyAlignment="1">
      <alignment vertical="top"/>
    </xf>
    <xf numFmtId="0" fontId="34" fillId="2" borderId="0" xfId="2" applyNumberFormat="1" applyFont="1" applyFill="1" applyBorder="1" applyAlignment="1">
      <alignment vertical="top"/>
    </xf>
    <xf numFmtId="0" fontId="56" fillId="2" borderId="0" xfId="2" applyNumberFormat="1" applyFont="1" applyFill="1" applyBorder="1" applyAlignment="1">
      <alignment horizontal="center" vertical="center"/>
    </xf>
    <xf numFmtId="2" fontId="56" fillId="2" borderId="0" xfId="2" applyNumberFormat="1" applyFont="1" applyFill="1" applyBorder="1" applyAlignment="1">
      <alignment horizontal="center" vertical="center" shrinkToFit="1"/>
    </xf>
    <xf numFmtId="0" fontId="56" fillId="2" borderId="0" xfId="2" applyNumberFormat="1" applyFont="1" applyFill="1" applyBorder="1" applyAlignment="1">
      <alignment horizontal="center" vertical="center" shrinkToFit="1"/>
    </xf>
    <xf numFmtId="2" fontId="56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/>
    <xf numFmtId="0" fontId="2" fillId="2" borderId="0" xfId="2" applyFont="1" applyFill="1" applyAlignment="1">
      <alignment horizontal="left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right"/>
    </xf>
    <xf numFmtId="2" fontId="2" fillId="2" borderId="0" xfId="2" applyNumberFormat="1" applyFont="1" applyFill="1"/>
    <xf numFmtId="4" fontId="82" fillId="2" borderId="14" xfId="2" applyNumberFormat="1" applyFont="1" applyFill="1" applyBorder="1" applyAlignment="1">
      <alignment vertical="center"/>
    </xf>
    <xf numFmtId="0" fontId="84" fillId="2" borderId="0" xfId="2" applyFont="1" applyFill="1"/>
    <xf numFmtId="49" fontId="33" fillId="2" borderId="0" xfId="2" applyNumberFormat="1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2" fillId="2" borderId="0" xfId="2" applyFont="1" applyFill="1" applyBorder="1" applyAlignment="1">
      <alignment vertical="center"/>
    </xf>
    <xf numFmtId="0" fontId="32" fillId="2" borderId="0" xfId="2" applyFont="1" applyFill="1" applyBorder="1" applyAlignment="1"/>
    <xf numFmtId="0" fontId="34" fillId="2" borderId="55" xfId="0" applyNumberFormat="1" applyFont="1" applyFill="1" applyBorder="1" applyAlignment="1">
      <alignment horizontal="center" vertical="center" shrinkToFit="1"/>
    </xf>
    <xf numFmtId="2" fontId="50" fillId="2" borderId="0" xfId="2" applyNumberFormat="1" applyFont="1" applyFill="1" applyBorder="1" applyAlignment="1">
      <alignment horizontal="left" vertical="center"/>
    </xf>
    <xf numFmtId="0" fontId="46" fillId="2" borderId="0" xfId="2" applyFont="1" applyFill="1" applyBorder="1"/>
    <xf numFmtId="0" fontId="42" fillId="2" borderId="0" xfId="2" applyFont="1" applyFill="1" applyBorder="1"/>
    <xf numFmtId="2" fontId="46" fillId="2" borderId="0" xfId="2" applyNumberFormat="1" applyFont="1" applyFill="1" applyBorder="1"/>
    <xf numFmtId="167" fontId="48" fillId="2" borderId="0" xfId="2" applyNumberFormat="1" applyFont="1" applyFill="1"/>
    <xf numFmtId="0" fontId="35" fillId="2" borderId="27" xfId="2" applyFont="1" applyFill="1" applyBorder="1"/>
    <xf numFmtId="0" fontId="35" fillId="2" borderId="28" xfId="2" applyFont="1" applyFill="1" applyBorder="1"/>
    <xf numFmtId="0" fontId="35" fillId="2" borderId="29" xfId="2" applyFont="1" applyFill="1" applyBorder="1"/>
    <xf numFmtId="169" fontId="47" fillId="2" borderId="0" xfId="2" applyNumberFormat="1" applyFont="1" applyFill="1" applyBorder="1" applyAlignment="1">
      <alignment vertical="center"/>
    </xf>
    <xf numFmtId="0" fontId="83" fillId="2" borderId="37" xfId="0" applyFont="1" applyFill="1" applyBorder="1"/>
    <xf numFmtId="0" fontId="83" fillId="2" borderId="38" xfId="0" applyFont="1" applyFill="1" applyBorder="1"/>
    <xf numFmtId="0" fontId="83" fillId="2" borderId="39" xfId="0" applyFont="1" applyFill="1" applyBorder="1"/>
    <xf numFmtId="0" fontId="48" fillId="2" borderId="0" xfId="2" applyFont="1" applyFill="1" applyAlignment="1">
      <alignment vertical="center" shrinkToFit="1"/>
    </xf>
    <xf numFmtId="0" fontId="83" fillId="2" borderId="45" xfId="0" applyFont="1" applyFill="1" applyBorder="1"/>
    <xf numFmtId="0" fontId="83" fillId="2" borderId="46" xfId="0" applyFont="1" applyFill="1" applyBorder="1"/>
    <xf numFmtId="0" fontId="83" fillId="2" borderId="47" xfId="0" applyFont="1" applyFill="1" applyBorder="1"/>
    <xf numFmtId="0" fontId="9" fillId="2" borderId="0" xfId="2" applyFont="1" applyFill="1" applyAlignment="1">
      <alignment vertical="center" shrinkToFit="1"/>
    </xf>
    <xf numFmtId="0" fontId="83" fillId="2" borderId="48" xfId="0" applyFont="1" applyFill="1" applyBorder="1"/>
    <xf numFmtId="0" fontId="83" fillId="2" borderId="0" xfId="0" applyFont="1" applyFill="1" applyBorder="1"/>
    <xf numFmtId="0" fontId="83" fillId="2" borderId="22" xfId="0" applyFont="1" applyFill="1" applyBorder="1"/>
    <xf numFmtId="0" fontId="51" fillId="2" borderId="0" xfId="2" applyFont="1" applyFill="1"/>
    <xf numFmtId="0" fontId="35" fillId="2" borderId="0" xfId="4" applyFont="1" applyFill="1"/>
    <xf numFmtId="0" fontId="83" fillId="2" borderId="53" xfId="0" applyFont="1" applyFill="1" applyBorder="1"/>
    <xf numFmtId="0" fontId="83" fillId="2" borderId="26" xfId="0" applyFont="1" applyFill="1" applyBorder="1"/>
    <xf numFmtId="0" fontId="83" fillId="2" borderId="54" xfId="0" applyFont="1" applyFill="1" applyBorder="1"/>
    <xf numFmtId="0" fontId="39" fillId="2" borderId="53" xfId="2" applyFont="1" applyFill="1" applyBorder="1" applyAlignment="1">
      <alignment horizontal="center" vertical="center" wrapText="1"/>
    </xf>
    <xf numFmtId="0" fontId="53" fillId="2" borderId="26" xfId="2" applyFont="1" applyFill="1" applyBorder="1" applyAlignment="1">
      <alignment horizontal="center" vertical="center" wrapText="1"/>
    </xf>
    <xf numFmtId="0" fontId="53" fillId="2" borderId="26" xfId="2" applyFont="1" applyFill="1" applyBorder="1" applyAlignment="1">
      <alignment horizontal="center" vertical="center"/>
    </xf>
    <xf numFmtId="1" fontId="53" fillId="2" borderId="58" xfId="2" applyNumberFormat="1" applyFont="1" applyFill="1" applyBorder="1" applyAlignment="1">
      <alignment horizontal="center" vertical="center"/>
    </xf>
    <xf numFmtId="0" fontId="51" fillId="2" borderId="0" xfId="2" applyFont="1" applyFill="1" applyAlignment="1">
      <alignment horizontal="center" vertical="center"/>
    </xf>
    <xf numFmtId="0" fontId="83" fillId="2" borderId="0" xfId="0" applyFont="1" applyFill="1"/>
    <xf numFmtId="0" fontId="35" fillId="2" borderId="0" xfId="0" applyFont="1" applyFill="1"/>
    <xf numFmtId="0" fontId="46" fillId="2" borderId="0" xfId="2" applyNumberFormat="1" applyFont="1" applyFill="1" applyBorder="1" applyAlignment="1">
      <alignment vertical="top"/>
    </xf>
    <xf numFmtId="0" fontId="46" fillId="2" borderId="43" xfId="2" applyNumberFormat="1" applyFont="1" applyFill="1" applyBorder="1" applyAlignment="1">
      <alignment vertical="top"/>
    </xf>
    <xf numFmtId="164" fontId="46" fillId="2" borderId="0" xfId="2" applyNumberFormat="1" applyFont="1" applyFill="1" applyBorder="1" applyAlignment="1">
      <alignment horizontal="center" vertical="center"/>
    </xf>
    <xf numFmtId="2" fontId="46" fillId="2" borderId="42" xfId="2" applyNumberFormat="1" applyFont="1" applyFill="1" applyBorder="1" applyAlignment="1">
      <alignment horizontal="center" vertical="center" shrinkToFit="1"/>
    </xf>
    <xf numFmtId="0" fontId="46" fillId="2" borderId="0" xfId="2" applyNumberFormat="1" applyFont="1" applyFill="1" applyBorder="1" applyAlignment="1">
      <alignment horizontal="center" vertical="center" shrinkToFit="1"/>
    </xf>
    <xf numFmtId="2" fontId="46" fillId="2" borderId="0" xfId="2" applyNumberFormat="1" applyFont="1" applyFill="1" applyBorder="1" applyAlignment="1">
      <alignment horizontal="center" vertical="center"/>
    </xf>
    <xf numFmtId="2" fontId="46" fillId="2" borderId="0" xfId="2" applyNumberFormat="1" applyFont="1" applyFill="1" applyBorder="1" applyAlignment="1">
      <alignment horizontal="center" vertical="center" shrinkToFit="1"/>
    </xf>
    <xf numFmtId="2" fontId="59" fillId="2" borderId="43" xfId="2" applyNumberFormat="1" applyFont="1" applyFill="1" applyBorder="1" applyAlignment="1">
      <alignment horizontal="center" vertical="center" shrinkToFit="1"/>
    </xf>
    <xf numFmtId="9" fontId="46" fillId="2" borderId="0" xfId="2" applyNumberFormat="1" applyFont="1" applyFill="1" applyBorder="1" applyAlignment="1">
      <alignment horizontal="center" vertical="center"/>
    </xf>
    <xf numFmtId="0" fontId="46" fillId="2" borderId="0" xfId="2" applyNumberFormat="1" applyFont="1" applyFill="1" applyBorder="1" applyAlignment="1">
      <alignment horizontal="center" vertical="center"/>
    </xf>
    <xf numFmtId="0" fontId="57" fillId="2" borderId="68" xfId="2" applyNumberFormat="1" applyFont="1" applyFill="1" applyBorder="1" applyAlignment="1">
      <alignment horizontal="right" vertical="center"/>
    </xf>
    <xf numFmtId="0" fontId="57" fillId="2" borderId="69" xfId="2" applyNumberFormat="1" applyFont="1" applyFill="1" applyBorder="1" applyAlignment="1">
      <alignment horizontal="right" vertical="center"/>
    </xf>
    <xf numFmtId="2" fontId="49" fillId="2" borderId="68" xfId="2" applyNumberFormat="1" applyFont="1" applyFill="1" applyBorder="1" applyAlignment="1">
      <alignment horizontal="center" vertical="center"/>
    </xf>
    <xf numFmtId="2" fontId="49" fillId="2" borderId="68" xfId="2" applyNumberFormat="1" applyFont="1" applyFill="1" applyBorder="1" applyAlignment="1">
      <alignment horizontal="center" vertical="center" shrinkToFit="1"/>
    </xf>
    <xf numFmtId="0" fontId="85" fillId="2" borderId="0" xfId="2" applyFont="1" applyFill="1" applyBorder="1" applyAlignment="1">
      <alignment horizontal="center"/>
    </xf>
    <xf numFmtId="0" fontId="49" fillId="2" borderId="0" xfId="2" applyFont="1" applyFill="1" applyBorder="1" applyAlignment="1">
      <alignment horizontal="right"/>
    </xf>
    <xf numFmtId="0" fontId="49" fillId="2" borderId="0" xfId="2" applyFont="1" applyFill="1" applyBorder="1" applyAlignment="1"/>
    <xf numFmtId="0" fontId="48" fillId="2" borderId="0" xfId="2" applyFont="1" applyFill="1" applyBorder="1" applyAlignment="1"/>
    <xf numFmtId="0" fontId="85" fillId="2" borderId="0" xfId="2" applyFont="1" applyFill="1" applyBorder="1" applyAlignment="1">
      <alignment horizontal="left"/>
    </xf>
    <xf numFmtId="0" fontId="49" fillId="2" borderId="0" xfId="2" applyFont="1" applyFill="1" applyBorder="1" applyAlignment="1">
      <alignment horizontal="center"/>
    </xf>
    <xf numFmtId="0" fontId="49" fillId="2" borderId="0" xfId="2" applyFont="1" applyFill="1" applyBorder="1" applyAlignment="1">
      <alignment horizontal="center" vertical="center"/>
    </xf>
    <xf numFmtId="0" fontId="85" fillId="2" borderId="0" xfId="2" applyFont="1" applyFill="1" applyBorder="1" applyAlignment="1">
      <alignment horizontal="center" vertical="center"/>
    </xf>
    <xf numFmtId="0" fontId="48" fillId="2" borderId="0" xfId="2" applyFont="1" applyFill="1" applyBorder="1" applyAlignment="1">
      <alignment horizontal="center" vertical="center"/>
    </xf>
    <xf numFmtId="169" fontId="48" fillId="2" borderId="0" xfId="2" applyNumberFormat="1" applyFont="1" applyFill="1" applyBorder="1" applyAlignment="1"/>
    <xf numFmtId="0" fontId="85" fillId="2" borderId="0" xfId="5" applyFont="1" applyFill="1" applyBorder="1" applyAlignment="1">
      <alignment horizontal="left"/>
    </xf>
    <xf numFmtId="2" fontId="34" fillId="2" borderId="81" xfId="0" applyNumberFormat="1" applyFont="1" applyFill="1" applyBorder="1" applyAlignment="1">
      <alignment horizontal="center" vertical="center" shrinkToFit="1"/>
    </xf>
    <xf numFmtId="2" fontId="57" fillId="2" borderId="68" xfId="2" applyNumberFormat="1" applyFont="1" applyFill="1" applyBorder="1" applyAlignment="1">
      <alignment horizontal="center" vertical="center"/>
    </xf>
    <xf numFmtId="0" fontId="84" fillId="2" borderId="0" xfId="2" applyFont="1" applyFill="1" applyAlignment="1">
      <alignment horizontal="center"/>
    </xf>
    <xf numFmtId="165" fontId="34" fillId="2" borderId="64" xfId="0" applyNumberFormat="1" applyFont="1" applyFill="1" applyBorder="1" applyAlignment="1">
      <alignment horizontal="center" vertical="center"/>
    </xf>
    <xf numFmtId="165" fontId="34" fillId="2" borderId="14" xfId="0" applyNumberFormat="1" applyFont="1" applyFill="1" applyBorder="1" applyAlignment="1">
      <alignment horizontal="center" vertical="center"/>
    </xf>
    <xf numFmtId="2" fontId="58" fillId="2" borderId="69" xfId="2" applyNumberFormat="1" applyFont="1" applyFill="1" applyBorder="1" applyAlignment="1">
      <alignment horizontal="center" vertical="center" shrinkToFit="1"/>
    </xf>
    <xf numFmtId="167" fontId="34" fillId="2" borderId="0" xfId="0" applyNumberFormat="1" applyFont="1" applyFill="1" applyAlignment="1">
      <alignment vertical="top"/>
    </xf>
    <xf numFmtId="165" fontId="34" fillId="2" borderId="63" xfId="0" applyNumberFormat="1" applyFont="1" applyFill="1" applyBorder="1" applyAlignment="1">
      <alignment horizontal="center" vertical="center" shrinkToFit="1"/>
    </xf>
    <xf numFmtId="0" fontId="0" fillId="2" borderId="0" xfId="0" applyFill="1"/>
    <xf numFmtId="0" fontId="35" fillId="2" borderId="0" xfId="7" applyNumberFormat="1" applyFont="1" applyFill="1" applyAlignment="1">
      <alignment vertical="top"/>
    </xf>
    <xf numFmtId="0" fontId="34" fillId="2" borderId="63" xfId="0" applyNumberFormat="1" applyFont="1" applyFill="1" applyBorder="1" applyAlignment="1">
      <alignment horizontal="center" vertical="center" shrinkToFit="1"/>
    </xf>
    <xf numFmtId="2" fontId="34" fillId="2" borderId="63" xfId="0" applyNumberFormat="1" applyFont="1" applyFill="1" applyBorder="1" applyAlignment="1">
      <alignment horizontal="center" vertical="center" shrinkToFit="1"/>
    </xf>
    <xf numFmtId="2" fontId="34" fillId="2" borderId="86" xfId="0" applyNumberFormat="1" applyFont="1" applyFill="1" applyBorder="1" applyAlignment="1">
      <alignment horizontal="center" vertical="center" shrinkToFit="1"/>
    </xf>
    <xf numFmtId="49" fontId="33" fillId="2" borderId="87" xfId="0" applyNumberFormat="1" applyFont="1" applyFill="1" applyBorder="1" applyAlignment="1">
      <alignment horizontal="left" vertical="center" wrapText="1"/>
    </xf>
    <xf numFmtId="2" fontId="34" fillId="2" borderId="63" xfId="0" applyNumberFormat="1" applyFont="1" applyFill="1" applyBorder="1" applyAlignment="1">
      <alignment horizontal="center" vertical="center"/>
    </xf>
    <xf numFmtId="49" fontId="33" fillId="2" borderId="56" xfId="0" applyNumberFormat="1" applyFont="1" applyFill="1" applyBorder="1" applyAlignment="1">
      <alignment horizontal="left" vertical="center" wrapText="1"/>
    </xf>
    <xf numFmtId="49" fontId="33" fillId="2" borderId="89" xfId="0" applyNumberFormat="1" applyFont="1" applyFill="1" applyBorder="1" applyAlignment="1">
      <alignment horizontal="left" vertical="center" wrapText="1"/>
    </xf>
    <xf numFmtId="0" fontId="34" fillId="2" borderId="64" xfId="0" applyNumberFormat="1" applyFont="1" applyFill="1" applyBorder="1" applyAlignment="1">
      <alignment horizontal="center" vertical="center" shrinkToFit="1"/>
    </xf>
    <xf numFmtId="165" fontId="34" fillId="2" borderId="83" xfId="0" applyNumberFormat="1" applyFont="1" applyFill="1" applyBorder="1" applyAlignment="1">
      <alignment horizontal="center" vertical="center" shrinkToFit="1"/>
    </xf>
    <xf numFmtId="2" fontId="34" fillId="2" borderId="83" xfId="0" applyNumberFormat="1" applyFont="1" applyFill="1" applyBorder="1" applyAlignment="1">
      <alignment horizontal="center" vertical="center"/>
    </xf>
    <xf numFmtId="2" fontId="34" fillId="2" borderId="90" xfId="0" applyNumberFormat="1" applyFont="1" applyFill="1" applyBorder="1" applyAlignment="1">
      <alignment horizontal="center" vertical="center" shrinkToFit="1"/>
    </xf>
    <xf numFmtId="0" fontId="34" fillId="2" borderId="88" xfId="0" applyNumberFormat="1" applyFont="1" applyFill="1" applyBorder="1" applyAlignment="1">
      <alignment horizontal="center" vertical="center" shrinkToFit="1"/>
    </xf>
    <xf numFmtId="165" fontId="34" fillId="2" borderId="88" xfId="0" applyNumberFormat="1" applyFont="1" applyFill="1" applyBorder="1" applyAlignment="1">
      <alignment horizontal="center" vertical="center" shrinkToFit="1"/>
    </xf>
    <xf numFmtId="2" fontId="34" fillId="2" borderId="88" xfId="0" applyNumberFormat="1" applyFont="1" applyFill="1" applyBorder="1" applyAlignment="1">
      <alignment horizontal="center" vertical="center"/>
    </xf>
    <xf numFmtId="165" fontId="34" fillId="2" borderId="88" xfId="0" applyNumberFormat="1" applyFont="1" applyFill="1" applyBorder="1" applyAlignment="1">
      <alignment horizontal="center" vertical="center"/>
    </xf>
    <xf numFmtId="2" fontId="34" fillId="2" borderId="94" xfId="0" applyNumberFormat="1" applyFont="1" applyFill="1" applyBorder="1" applyAlignment="1">
      <alignment horizontal="center" vertical="center" shrinkToFit="1"/>
    </xf>
    <xf numFmtId="49" fontId="33" fillId="2" borderId="91" xfId="0" applyNumberFormat="1" applyFont="1" applyFill="1" applyBorder="1" applyAlignment="1">
      <alignment horizontal="left" vertical="center" wrapText="1"/>
    </xf>
    <xf numFmtId="0" fontId="34" fillId="2" borderId="14" xfId="0" applyNumberFormat="1" applyFont="1" applyFill="1" applyBorder="1" applyAlignment="1">
      <alignment horizontal="center" vertical="center" shrinkToFit="1"/>
    </xf>
    <xf numFmtId="2" fontId="34" fillId="2" borderId="14" xfId="0" applyNumberFormat="1" applyFont="1" applyFill="1" applyBorder="1" applyAlignment="1">
      <alignment horizontal="center" vertical="center"/>
    </xf>
    <xf numFmtId="2" fontId="34" fillId="2" borderId="92" xfId="0" applyNumberFormat="1" applyFont="1" applyFill="1" applyBorder="1" applyAlignment="1">
      <alignment horizontal="center" vertical="center" shrinkToFit="1"/>
    </xf>
    <xf numFmtId="49" fontId="33" fillId="2" borderId="93" xfId="0" applyNumberFormat="1" applyFont="1" applyFill="1" applyBorder="1" applyAlignment="1">
      <alignment horizontal="left" vertical="center" wrapText="1"/>
    </xf>
    <xf numFmtId="168" fontId="34" fillId="2" borderId="64" xfId="0" applyNumberFormat="1" applyFont="1" applyFill="1" applyBorder="1" applyAlignment="1">
      <alignment horizontal="center" vertical="center" shrinkToFit="1"/>
    </xf>
    <xf numFmtId="2" fontId="34" fillId="2" borderId="64" xfId="0" applyNumberFormat="1" applyFont="1" applyFill="1" applyBorder="1" applyAlignment="1">
      <alignment horizontal="center" vertical="center" shrinkToFit="1"/>
    </xf>
    <xf numFmtId="2" fontId="33" fillId="2" borderId="55" xfId="0" applyNumberFormat="1" applyFont="1" applyFill="1" applyBorder="1" applyAlignment="1">
      <alignment horizontal="left" vertical="top"/>
    </xf>
    <xf numFmtId="2" fontId="33" fillId="2" borderId="1" xfId="0" applyNumberFormat="1" applyFont="1" applyFill="1" applyBorder="1" applyAlignment="1">
      <alignment horizontal="left" vertical="top"/>
    </xf>
    <xf numFmtId="165" fontId="34" fillId="2" borderId="55" xfId="0" applyNumberFormat="1" applyFont="1" applyFill="1" applyBorder="1" applyAlignment="1">
      <alignment horizontal="center" vertical="top"/>
    </xf>
    <xf numFmtId="0" fontId="88" fillId="2" borderId="0" xfId="166" applyFont="1" applyFill="1"/>
    <xf numFmtId="167" fontId="35" fillId="2" borderId="0" xfId="166" applyNumberFormat="1" applyFont="1" applyFill="1"/>
    <xf numFmtId="49" fontId="39" fillId="2" borderId="26" xfId="166" applyNumberFormat="1" applyFont="1" applyFill="1" applyBorder="1" applyAlignment="1">
      <alignment horizontal="center" vertical="center" wrapText="1"/>
    </xf>
    <xf numFmtId="49" fontId="39" fillId="2" borderId="58" xfId="166" applyNumberFormat="1" applyFont="1" applyFill="1" applyBorder="1" applyAlignment="1">
      <alignment horizontal="center" vertical="center" wrapText="1"/>
    </xf>
    <xf numFmtId="2" fontId="34" fillId="2" borderId="26" xfId="166" applyNumberFormat="1" applyFont="1" applyFill="1" applyBorder="1" applyAlignment="1">
      <alignment horizontal="center" vertical="center"/>
    </xf>
    <xf numFmtId="2" fontId="34" fillId="2" borderId="54" xfId="166" applyNumberFormat="1" applyFont="1" applyFill="1" applyBorder="1" applyAlignment="1">
      <alignment horizontal="center" vertical="center"/>
    </xf>
    <xf numFmtId="0" fontId="39" fillId="2" borderId="66" xfId="75" applyNumberFormat="1" applyFont="1" applyFill="1" applyBorder="1" applyAlignment="1">
      <alignment horizontal="center" vertical="top"/>
    </xf>
    <xf numFmtId="0" fontId="39" fillId="2" borderId="55" xfId="75" applyNumberFormat="1" applyFont="1" applyFill="1" applyBorder="1" applyAlignment="1">
      <alignment vertical="top"/>
    </xf>
    <xf numFmtId="0" fontId="33" fillId="2" borderId="0" xfId="75" applyFont="1" applyFill="1" applyAlignment="1">
      <alignment horizontal="center" vertical="center"/>
    </xf>
    <xf numFmtId="0" fontId="34" fillId="2" borderId="48" xfId="75" applyNumberFormat="1" applyFont="1" applyFill="1" applyBorder="1" applyAlignment="1">
      <alignment horizontal="center" vertical="top"/>
    </xf>
    <xf numFmtId="0" fontId="34" fillId="2" borderId="0" xfId="75" applyNumberFormat="1" applyFont="1" applyFill="1" applyBorder="1" applyAlignment="1">
      <alignment vertical="top"/>
    </xf>
    <xf numFmtId="9" fontId="34" fillId="2" borderId="26" xfId="166" applyNumberFormat="1" applyFont="1" applyFill="1" applyBorder="1" applyAlignment="1">
      <alignment horizontal="center" vertical="center"/>
    </xf>
    <xf numFmtId="2" fontId="34" fillId="2" borderId="82" xfId="75" applyNumberFormat="1" applyFont="1" applyFill="1" applyBorder="1" applyAlignment="1">
      <alignment horizontal="center" vertical="center" shrinkToFit="1"/>
    </xf>
    <xf numFmtId="2" fontId="34" fillId="2" borderId="0" xfId="75" applyNumberFormat="1" applyFont="1" applyFill="1" applyBorder="1" applyAlignment="1">
      <alignment vertical="top"/>
    </xf>
    <xf numFmtId="2" fontId="34" fillId="2" borderId="0" xfId="75" applyNumberFormat="1" applyFont="1" applyFill="1" applyBorder="1" applyAlignment="1">
      <alignment vertical="top" shrinkToFit="1"/>
    </xf>
    <xf numFmtId="2" fontId="33" fillId="2" borderId="0" xfId="75" applyNumberFormat="1" applyFont="1" applyFill="1" applyBorder="1" applyAlignment="1">
      <alignment vertical="top"/>
    </xf>
    <xf numFmtId="0" fontId="34" fillId="2" borderId="0" xfId="75" applyNumberFormat="1" applyFont="1" applyFill="1" applyBorder="1" applyAlignment="1">
      <alignment horizontal="center" vertical="center" shrinkToFit="1"/>
    </xf>
    <xf numFmtId="2" fontId="34" fillId="2" borderId="0" xfId="75" applyNumberFormat="1" applyFont="1" applyFill="1" applyBorder="1" applyAlignment="1">
      <alignment horizontal="center" vertical="center"/>
    </xf>
    <xf numFmtId="2" fontId="34" fillId="2" borderId="0" xfId="75" applyNumberFormat="1" applyFont="1" applyFill="1" applyBorder="1" applyAlignment="1">
      <alignment horizontal="center" vertical="center" shrinkToFit="1"/>
    </xf>
    <xf numFmtId="168" fontId="34" fillId="2" borderId="22" xfId="75" applyNumberFormat="1" applyFont="1" applyFill="1" applyBorder="1" applyAlignment="1">
      <alignment vertical="center" shrinkToFit="1"/>
    </xf>
    <xf numFmtId="2" fontId="34" fillId="2" borderId="0" xfId="75" applyNumberFormat="1" applyFont="1" applyFill="1" applyBorder="1" applyAlignment="1">
      <alignment vertical="center" shrinkToFit="1"/>
    </xf>
    <xf numFmtId="0" fontId="3" fillId="2" borderId="60" xfId="75" applyFont="1" applyFill="1" applyBorder="1"/>
    <xf numFmtId="2" fontId="35" fillId="2" borderId="58" xfId="166" applyNumberFormat="1" applyFont="1" applyFill="1" applyBorder="1" applyAlignment="1">
      <alignment horizontal="right"/>
    </xf>
    <xf numFmtId="0" fontId="3" fillId="2" borderId="43" xfId="75" applyFont="1" applyFill="1" applyBorder="1"/>
    <xf numFmtId="0" fontId="34" fillId="2" borderId="26" xfId="166" applyNumberFormat="1" applyFont="1" applyFill="1" applyBorder="1" applyAlignment="1">
      <alignment horizontal="center" vertical="center"/>
    </xf>
    <xf numFmtId="2" fontId="35" fillId="2" borderId="84" xfId="166" applyNumberFormat="1" applyFont="1" applyFill="1" applyBorder="1" applyAlignment="1">
      <alignment horizontal="right" vertical="top"/>
    </xf>
    <xf numFmtId="0" fontId="34" fillId="2" borderId="2" xfId="75" applyNumberFormat="1" applyFont="1" applyFill="1" applyBorder="1" applyAlignment="1">
      <alignment vertical="top"/>
    </xf>
    <xf numFmtId="0" fontId="42" fillId="2" borderId="56" xfId="166" applyNumberFormat="1" applyFont="1" applyFill="1" applyBorder="1" applyAlignment="1">
      <alignment horizontal="right" vertical="center"/>
    </xf>
    <xf numFmtId="2" fontId="42" fillId="2" borderId="56" xfId="75" applyNumberFormat="1" applyFont="1" applyFill="1" applyBorder="1" applyAlignment="1">
      <alignment horizontal="right" vertical="center" shrinkToFit="1"/>
    </xf>
    <xf numFmtId="2" fontId="42" fillId="2" borderId="55" xfId="75" applyNumberFormat="1" applyFont="1" applyFill="1" applyBorder="1" applyAlignment="1">
      <alignment horizontal="right" vertical="center"/>
    </xf>
    <xf numFmtId="2" fontId="42" fillId="2" borderId="55" xfId="75" applyNumberFormat="1" applyFont="1" applyFill="1" applyBorder="1" applyAlignment="1">
      <alignment horizontal="right" vertical="center" shrinkToFit="1"/>
    </xf>
    <xf numFmtId="2" fontId="53" fillId="2" borderId="55" xfId="75" applyNumberFormat="1" applyFont="1" applyFill="1" applyBorder="1" applyAlignment="1">
      <alignment vertical="center"/>
    </xf>
    <xf numFmtId="0" fontId="39" fillId="2" borderId="55" xfId="75" applyNumberFormat="1" applyFont="1" applyFill="1" applyBorder="1" applyAlignment="1">
      <alignment horizontal="right" vertical="center" shrinkToFit="1"/>
    </xf>
    <xf numFmtId="2" fontId="39" fillId="2" borderId="55" xfId="75" applyNumberFormat="1" applyFont="1" applyFill="1" applyBorder="1" applyAlignment="1">
      <alignment horizontal="right" vertical="center"/>
    </xf>
    <xf numFmtId="2" fontId="39" fillId="2" borderId="55" xfId="75" applyNumberFormat="1" applyFont="1" applyFill="1" applyBorder="1" applyAlignment="1">
      <alignment horizontal="right" vertical="center" shrinkToFit="1"/>
    </xf>
    <xf numFmtId="168" fontId="39" fillId="2" borderId="55" xfId="75" applyNumberFormat="1" applyFont="1" applyFill="1" applyBorder="1" applyAlignment="1">
      <alignment horizontal="right" vertical="center" shrinkToFit="1"/>
    </xf>
    <xf numFmtId="0" fontId="3" fillId="2" borderId="57" xfId="75" applyFont="1" applyFill="1" applyBorder="1"/>
    <xf numFmtId="0" fontId="35" fillId="2" borderId="26" xfId="166" applyNumberFormat="1" applyFont="1" applyFill="1" applyBorder="1" applyAlignment="1">
      <alignment horizontal="left" vertical="center"/>
    </xf>
    <xf numFmtId="0" fontId="42" fillId="2" borderId="26" xfId="166" applyNumberFormat="1" applyFont="1" applyFill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12" fillId="0" borderId="0" xfId="2" applyFont="1" applyFill="1" applyAlignment="1">
      <alignment horizontal="right"/>
    </xf>
    <xf numFmtId="0" fontId="10" fillId="0" borderId="0" xfId="2" applyFont="1" applyFill="1" applyAlignment="1">
      <alignment horizontal="center"/>
    </xf>
    <xf numFmtId="0" fontId="24" fillId="0" borderId="7" xfId="248" applyFont="1" applyBorder="1" applyAlignment="1">
      <alignment horizontal="center" vertical="center" wrapText="1"/>
    </xf>
    <xf numFmtId="0" fontId="25" fillId="0" borderId="7" xfId="248" applyFont="1" applyBorder="1" applyAlignment="1">
      <alignment horizontal="center" vertical="center" wrapText="1"/>
    </xf>
    <xf numFmtId="0" fontId="18" fillId="0" borderId="7" xfId="248" applyFont="1" applyBorder="1" applyAlignment="1">
      <alignment horizontal="center" vertical="center" wrapText="1"/>
    </xf>
    <xf numFmtId="0" fontId="26" fillId="3" borderId="8" xfId="248" applyFont="1" applyFill="1" applyBorder="1" applyAlignment="1">
      <alignment horizontal="center" vertical="center" wrapText="1"/>
    </xf>
    <xf numFmtId="4" fontId="89" fillId="0" borderId="14" xfId="2" applyNumberFormat="1" applyFont="1" applyBorder="1" applyAlignment="1">
      <alignment horizontal="centerContinuous" vertical="center" wrapText="1"/>
    </xf>
    <xf numFmtId="4" fontId="10" fillId="2" borderId="14" xfId="2" applyNumberFormat="1" applyFont="1" applyFill="1" applyBorder="1" applyAlignment="1">
      <alignment horizontal="right" vertical="center"/>
    </xf>
    <xf numFmtId="4" fontId="82" fillId="0" borderId="14" xfId="2" applyNumberFormat="1" applyFont="1" applyFill="1" applyBorder="1" applyAlignment="1">
      <alignment vertical="center"/>
    </xf>
    <xf numFmtId="0" fontId="14" fillId="2" borderId="13" xfId="2" applyFont="1" applyFill="1" applyBorder="1" applyAlignment="1">
      <alignment horizontal="left" vertical="center" indent="24"/>
    </xf>
    <xf numFmtId="0" fontId="14" fillId="2" borderId="14" xfId="2" applyFont="1" applyFill="1" applyBorder="1" applyAlignment="1">
      <alignment horizontal="centerContinuous" vertical="center"/>
    </xf>
    <xf numFmtId="0" fontId="14" fillId="2" borderId="14" xfId="2" applyFont="1" applyFill="1" applyBorder="1" applyAlignment="1">
      <alignment horizontal="right" vertical="center" wrapText="1"/>
    </xf>
    <xf numFmtId="4" fontId="14" fillId="2" borderId="14" xfId="2" applyNumberFormat="1" applyFont="1" applyFill="1" applyBorder="1" applyAlignment="1">
      <alignment horizontal="right" vertical="center" wrapText="1"/>
    </xf>
    <xf numFmtId="4" fontId="82" fillId="2" borderId="14" xfId="2" applyNumberFormat="1" applyFont="1" applyFill="1" applyBorder="1" applyAlignment="1">
      <alignment horizontal="centerContinuous" vertical="center" wrapText="1"/>
    </xf>
    <xf numFmtId="3" fontId="10" fillId="2" borderId="14" xfId="2" applyNumberFormat="1" applyFont="1" applyFill="1" applyBorder="1" applyAlignment="1">
      <alignment vertical="center"/>
    </xf>
    <xf numFmtId="0" fontId="82" fillId="2" borderId="0" xfId="2" applyFont="1" applyFill="1"/>
    <xf numFmtId="0" fontId="14" fillId="2" borderId="14" xfId="2" applyFont="1" applyFill="1" applyBorder="1" applyAlignment="1">
      <alignment horizontal="centerContinuous" vertical="top" wrapText="1"/>
    </xf>
    <xf numFmtId="0" fontId="10" fillId="2" borderId="14" xfId="248" applyFont="1" applyFill="1" applyBorder="1" applyAlignment="1">
      <alignment horizontal="center" vertical="center"/>
    </xf>
    <xf numFmtId="4" fontId="90" fillId="2" borderId="14" xfId="2" applyNumberFormat="1" applyFont="1" applyFill="1" applyBorder="1" applyAlignment="1">
      <alignment horizontal="centerContinuous" vertical="center" wrapText="1"/>
    </xf>
    <xf numFmtId="4" fontId="82" fillId="0" borderId="14" xfId="2" applyNumberFormat="1" applyFont="1" applyBorder="1" applyAlignment="1">
      <alignment horizontal="right" vertical="center"/>
    </xf>
    <xf numFmtId="4" fontId="82" fillId="3" borderId="14" xfId="2" applyNumberFormat="1" applyFont="1" applyFill="1" applyBorder="1" applyAlignment="1">
      <alignment vertical="center"/>
    </xf>
    <xf numFmtId="2" fontId="30" fillId="0" borderId="0" xfId="2" applyNumberFormat="1" applyFont="1" applyBorder="1"/>
    <xf numFmtId="2" fontId="10" fillId="0" borderId="0" xfId="2" applyNumberFormat="1" applyFont="1" applyBorder="1"/>
    <xf numFmtId="0" fontId="37" fillId="2" borderId="0" xfId="2" applyFont="1" applyFill="1" applyBorder="1" applyAlignment="1">
      <alignment vertical="center"/>
    </xf>
    <xf numFmtId="0" fontId="33" fillId="2" borderId="0" xfId="2" applyFont="1" applyFill="1" applyBorder="1" applyAlignment="1">
      <alignment vertical="center"/>
    </xf>
    <xf numFmtId="0" fontId="61" fillId="2" borderId="0" xfId="2" applyFont="1" applyFill="1" applyAlignment="1">
      <alignment vertical="center"/>
    </xf>
    <xf numFmtId="0" fontId="35" fillId="0" borderId="0" xfId="0" applyFont="1"/>
    <xf numFmtId="2" fontId="33" fillId="2" borderId="55" xfId="0" applyNumberFormat="1" applyFont="1" applyFill="1" applyBorder="1" applyAlignment="1">
      <alignment vertical="top"/>
    </xf>
    <xf numFmtId="49" fontId="33" fillId="2" borderId="62" xfId="0" applyNumberFormat="1" applyFont="1" applyFill="1" applyBorder="1" applyAlignment="1">
      <alignment horizontal="left" vertical="center" wrapText="1"/>
    </xf>
    <xf numFmtId="168" fontId="34" fillId="2" borderId="63" xfId="0" applyNumberFormat="1" applyFont="1" applyFill="1" applyBorder="1" applyAlignment="1">
      <alignment horizontal="center" vertical="center" shrinkToFit="1"/>
    </xf>
    <xf numFmtId="2" fontId="33" fillId="2" borderId="56" xfId="0" applyNumberFormat="1" applyFont="1" applyFill="1" applyBorder="1" applyAlignment="1">
      <alignment vertical="top"/>
    </xf>
    <xf numFmtId="2" fontId="34" fillId="2" borderId="64" xfId="0" applyNumberFormat="1" applyFont="1" applyFill="1" applyBorder="1" applyAlignment="1">
      <alignment horizontal="center" vertical="center"/>
    </xf>
    <xf numFmtId="165" fontId="34" fillId="2" borderId="64" xfId="0" applyNumberFormat="1" applyFont="1" applyFill="1" applyBorder="1" applyAlignment="1">
      <alignment horizontal="center" vertical="center" shrinkToFit="1"/>
    </xf>
    <xf numFmtId="49" fontId="33" fillId="2" borderId="95" xfId="0" applyNumberFormat="1" applyFont="1" applyFill="1" applyBorder="1" applyAlignment="1">
      <alignment horizontal="left" vertical="top" wrapText="1"/>
    </xf>
    <xf numFmtId="49" fontId="33" fillId="2" borderId="97" xfId="0" applyNumberFormat="1" applyFont="1" applyFill="1" applyBorder="1" applyAlignment="1">
      <alignment horizontal="left" vertical="top" wrapText="1"/>
    </xf>
    <xf numFmtId="2" fontId="34" fillId="2" borderId="98" xfId="0" applyNumberFormat="1" applyFont="1" applyFill="1" applyBorder="1" applyAlignment="1">
      <alignment horizontal="center" vertical="center" shrinkToFit="1"/>
    </xf>
    <xf numFmtId="0" fontId="18" fillId="2" borderId="50" xfId="166" applyNumberFormat="1" applyFont="1" applyFill="1" applyBorder="1" applyAlignment="1">
      <alignment vertical="center"/>
    </xf>
    <xf numFmtId="0" fontId="18" fillId="2" borderId="26" xfId="166" applyNumberFormat="1" applyFont="1" applyFill="1" applyBorder="1" applyAlignment="1">
      <alignment vertical="center"/>
    </xf>
    <xf numFmtId="0" fontId="87" fillId="2" borderId="26" xfId="194" applyNumberFormat="1" applyFont="1" applyFill="1" applyBorder="1" applyAlignment="1">
      <alignment horizontal="left" vertical="top"/>
    </xf>
    <xf numFmtId="0" fontId="42" fillId="2" borderId="26" xfId="166" applyNumberFormat="1" applyFont="1" applyFill="1" applyBorder="1" applyAlignment="1">
      <alignment horizontal="left" vertical="top"/>
    </xf>
    <xf numFmtId="0" fontId="93" fillId="2" borderId="26" xfId="194" applyNumberFormat="1" applyFont="1" applyFill="1" applyBorder="1" applyAlignment="1">
      <alignment horizontal="left" vertical="center"/>
    </xf>
    <xf numFmtId="0" fontId="35" fillId="2" borderId="0" xfId="2" applyFont="1" applyFill="1" applyBorder="1" applyAlignment="1">
      <alignment horizontal="center" vertical="center"/>
    </xf>
    <xf numFmtId="4" fontId="33" fillId="2" borderId="0" xfId="75" applyNumberFormat="1" applyFont="1" applyFill="1" applyAlignment="1">
      <alignment horizontal="center" vertical="center"/>
    </xf>
    <xf numFmtId="0" fontId="86" fillId="2" borderId="0" xfId="2" applyFont="1" applyFill="1" applyBorder="1" applyAlignment="1"/>
    <xf numFmtId="0" fontId="48" fillId="2" borderId="0" xfId="2" applyFont="1" applyFill="1" applyBorder="1" applyAlignment="1">
      <alignment horizontal="right"/>
    </xf>
    <xf numFmtId="2" fontId="47" fillId="2" borderId="0" xfId="2" applyNumberFormat="1" applyFont="1" applyFill="1" applyBorder="1" applyAlignment="1">
      <alignment horizontal="left" vertical="center"/>
    </xf>
    <xf numFmtId="165" fontId="34" fillId="2" borderId="65" xfId="247" applyNumberFormat="1" applyFont="1" applyFill="1" applyBorder="1" applyAlignment="1">
      <alignment horizontal="center" vertical="center" shrinkToFit="1"/>
    </xf>
    <xf numFmtId="0" fontId="34" fillId="2" borderId="96" xfId="75" applyNumberFormat="1" applyFont="1" applyFill="1" applyBorder="1" applyAlignment="1">
      <alignment horizontal="center" vertical="top"/>
    </xf>
    <xf numFmtId="49" fontId="33" fillId="2" borderId="62" xfId="0" applyNumberFormat="1" applyFont="1" applyFill="1" applyBorder="1" applyAlignment="1">
      <alignment horizontal="left" vertical="top" wrapText="1"/>
    </xf>
    <xf numFmtId="10" fontId="35" fillId="2" borderId="0" xfId="166" applyNumberFormat="1" applyFont="1" applyFill="1" applyAlignment="1">
      <alignment horizontal="center"/>
    </xf>
    <xf numFmtId="10" fontId="34" fillId="2" borderId="54" xfId="166" applyNumberFormat="1" applyFont="1" applyFill="1" applyBorder="1" applyAlignment="1">
      <alignment horizontal="center" vertical="center"/>
    </xf>
    <xf numFmtId="10" fontId="39" fillId="2" borderId="54" xfId="166" applyNumberFormat="1" applyFont="1" applyFill="1" applyBorder="1" applyAlignment="1">
      <alignment horizontal="center" vertical="center"/>
    </xf>
    <xf numFmtId="0" fontId="39" fillId="2" borderId="58" xfId="166" applyNumberFormat="1" applyFont="1" applyFill="1" applyBorder="1" applyAlignment="1">
      <alignment horizontal="center" vertical="center" wrapText="1"/>
    </xf>
    <xf numFmtId="9" fontId="39" fillId="2" borderId="54" xfId="166" applyNumberFormat="1" applyFont="1" applyFill="1" applyBorder="1" applyAlignment="1">
      <alignment horizontal="center" vertical="center"/>
    </xf>
    <xf numFmtId="0" fontId="34" fillId="28" borderId="0" xfId="0" applyNumberFormat="1" applyFont="1" applyFill="1" applyAlignment="1">
      <alignment vertical="top"/>
    </xf>
    <xf numFmtId="167" fontId="35" fillId="2" borderId="0" xfId="2" applyNumberFormat="1" applyFont="1" applyFill="1" applyBorder="1" applyAlignment="1"/>
    <xf numFmtId="0" fontId="33" fillId="2" borderId="0" xfId="2" applyFont="1" applyFill="1" applyBorder="1" applyAlignment="1"/>
    <xf numFmtId="173" fontId="3" fillId="2" borderId="0" xfId="2" applyNumberFormat="1" applyFont="1" applyFill="1"/>
    <xf numFmtId="0" fontId="31" fillId="2" borderId="0" xfId="2" applyFont="1" applyFill="1" applyBorder="1" applyAlignment="1">
      <alignment horizontal="right"/>
    </xf>
    <xf numFmtId="0" fontId="53" fillId="2" borderId="56" xfId="2" applyFont="1" applyFill="1" applyBorder="1" applyAlignment="1">
      <alignment horizontal="center" vertical="center" wrapText="1"/>
    </xf>
    <xf numFmtId="0" fontId="53" fillId="2" borderId="55" xfId="2" applyFont="1" applyFill="1" applyBorder="1" applyAlignment="1">
      <alignment horizontal="center" vertical="center" wrapText="1"/>
    </xf>
    <xf numFmtId="2" fontId="34" fillId="2" borderId="1" xfId="0" applyNumberFormat="1" applyFont="1" applyFill="1" applyBorder="1" applyAlignment="1">
      <alignment horizontal="center" vertical="center"/>
    </xf>
    <xf numFmtId="0" fontId="57" fillId="2" borderId="66" xfId="2" applyNumberFormat="1" applyFont="1" applyFill="1" applyBorder="1" applyAlignment="1">
      <alignment horizontal="center" vertical="top"/>
    </xf>
    <xf numFmtId="0" fontId="57" fillId="2" borderId="55" xfId="2" applyNumberFormat="1" applyFont="1" applyFill="1" applyBorder="1" applyAlignment="1">
      <alignment vertical="top"/>
    </xf>
    <xf numFmtId="0" fontId="57" fillId="2" borderId="57" xfId="2" applyNumberFormat="1" applyFont="1" applyFill="1" applyBorder="1" applyAlignment="1">
      <alignment vertical="top"/>
    </xf>
    <xf numFmtId="0" fontId="57" fillId="2" borderId="55" xfId="2" applyNumberFormat="1" applyFont="1" applyFill="1" applyBorder="1" applyAlignment="1">
      <alignment horizontal="center" vertical="center"/>
    </xf>
    <xf numFmtId="2" fontId="57" fillId="2" borderId="56" xfId="2" applyNumberFormat="1" applyFont="1" applyFill="1" applyBorder="1" applyAlignment="1">
      <alignment horizontal="center" vertical="center" shrinkToFit="1"/>
    </xf>
    <xf numFmtId="2" fontId="57" fillId="2" borderId="55" xfId="2" applyNumberFormat="1" applyFont="1" applyFill="1" applyBorder="1" applyAlignment="1">
      <alignment horizontal="center" vertical="top"/>
    </xf>
    <xf numFmtId="2" fontId="57" fillId="2" borderId="55" xfId="2" applyNumberFormat="1" applyFont="1" applyFill="1" applyBorder="1" applyAlignment="1">
      <alignment horizontal="center" vertical="top" shrinkToFit="1"/>
    </xf>
    <xf numFmtId="2" fontId="52" fillId="2" borderId="55" xfId="2" applyNumberFormat="1" applyFont="1" applyFill="1" applyBorder="1" applyAlignment="1">
      <alignment vertical="center"/>
    </xf>
    <xf numFmtId="0" fontId="57" fillId="2" borderId="55" xfId="2" applyNumberFormat="1" applyFont="1" applyFill="1" applyBorder="1" applyAlignment="1">
      <alignment horizontal="center" vertical="center" shrinkToFit="1"/>
    </xf>
    <xf numFmtId="2" fontId="57" fillId="2" borderId="55" xfId="2" applyNumberFormat="1" applyFont="1" applyFill="1" applyBorder="1" applyAlignment="1">
      <alignment horizontal="center" vertical="center"/>
    </xf>
    <xf numFmtId="2" fontId="57" fillId="2" borderId="55" xfId="2" applyNumberFormat="1" applyFont="1" applyFill="1" applyBorder="1" applyAlignment="1">
      <alignment horizontal="center" vertical="center" shrinkToFit="1"/>
    </xf>
    <xf numFmtId="2" fontId="57" fillId="2" borderId="55" xfId="2" applyNumberFormat="1" applyFont="1" applyFill="1" applyBorder="1" applyAlignment="1">
      <alignment horizontal="right" vertical="top" shrinkToFit="1"/>
    </xf>
    <xf numFmtId="2" fontId="58" fillId="2" borderId="57" xfId="2" applyNumberFormat="1" applyFont="1" applyFill="1" applyBorder="1" applyAlignment="1">
      <alignment horizontal="center" vertical="center" shrinkToFit="1"/>
    </xf>
    <xf numFmtId="0" fontId="39" fillId="2" borderId="56" xfId="2" applyFont="1" applyFill="1" applyBorder="1" applyAlignment="1">
      <alignment horizontal="center" vertical="center" wrapText="1"/>
    </xf>
    <xf numFmtId="0" fontId="53" fillId="2" borderId="55" xfId="2" applyFont="1" applyFill="1" applyBorder="1" applyAlignment="1">
      <alignment horizontal="center" vertical="center"/>
    </xf>
    <xf numFmtId="1" fontId="53" fillId="2" borderId="57" xfId="2" applyNumberFormat="1" applyFont="1" applyFill="1" applyBorder="1" applyAlignment="1">
      <alignment horizontal="center" vertical="center"/>
    </xf>
    <xf numFmtId="2" fontId="34" fillId="2" borderId="59" xfId="7" applyNumberFormat="1" applyFont="1" applyFill="1" applyBorder="1" applyAlignment="1">
      <alignment vertical="top"/>
    </xf>
    <xf numFmtId="2" fontId="34" fillId="2" borderId="82" xfId="7" applyNumberFormat="1" applyFont="1" applyFill="1" applyBorder="1" applyAlignment="1">
      <alignment horizontal="center" vertical="top"/>
    </xf>
    <xf numFmtId="2" fontId="34" fillId="2" borderId="60" xfId="7" applyNumberFormat="1" applyFont="1" applyFill="1" applyBorder="1" applyAlignment="1">
      <alignment horizontal="center" vertical="top"/>
    </xf>
    <xf numFmtId="2" fontId="34" fillId="2" borderId="51" xfId="7" applyNumberFormat="1" applyFont="1" applyFill="1" applyBorder="1" applyAlignment="1">
      <alignment vertical="top"/>
    </xf>
    <xf numFmtId="2" fontId="34" fillId="2" borderId="1" xfId="7" applyNumberFormat="1" applyFont="1" applyFill="1" applyBorder="1" applyAlignment="1">
      <alignment horizontal="center" vertical="top"/>
    </xf>
    <xf numFmtId="2" fontId="34" fillId="2" borderId="52" xfId="7" applyNumberFormat="1" applyFont="1" applyFill="1" applyBorder="1" applyAlignment="1">
      <alignment horizontal="center" vertical="top"/>
    </xf>
    <xf numFmtId="2" fontId="34" fillId="2" borderId="42" xfId="7" applyNumberFormat="1" applyFont="1" applyFill="1" applyBorder="1" applyAlignment="1">
      <alignment vertical="top"/>
    </xf>
    <xf numFmtId="0" fontId="34" fillId="2" borderId="0" xfId="7" applyNumberFormat="1" applyFont="1" applyFill="1" applyBorder="1" applyAlignment="1">
      <alignment horizontal="center" vertical="center" shrinkToFit="1"/>
    </xf>
    <xf numFmtId="2" fontId="34" fillId="2" borderId="0" xfId="7" applyNumberFormat="1" applyFont="1" applyFill="1" applyBorder="1" applyAlignment="1">
      <alignment horizontal="center" vertical="center"/>
    </xf>
    <xf numFmtId="2" fontId="34" fillId="2" borderId="0" xfId="7" applyNumberFormat="1" applyFont="1" applyFill="1" applyBorder="1" applyAlignment="1">
      <alignment horizontal="center" vertical="top"/>
    </xf>
    <xf numFmtId="2" fontId="34" fillId="2" borderId="43" xfId="7" applyNumberFormat="1" applyFont="1" applyFill="1" applyBorder="1" applyAlignment="1">
      <alignment horizontal="center" vertical="top" shrinkToFit="1"/>
    </xf>
    <xf numFmtId="0" fontId="56" fillId="2" borderId="0" xfId="0" applyNumberFormat="1" applyFont="1" applyFill="1" applyAlignment="1">
      <alignment vertical="top"/>
    </xf>
    <xf numFmtId="0" fontId="56" fillId="3" borderId="0" xfId="0" applyNumberFormat="1" applyFont="1" applyFill="1" applyAlignment="1">
      <alignment vertical="top"/>
    </xf>
    <xf numFmtId="0" fontId="35" fillId="0" borderId="0" xfId="7" applyNumberFormat="1" applyFont="1" applyFill="1" applyAlignment="1">
      <alignment vertical="top"/>
    </xf>
    <xf numFmtId="0" fontId="34" fillId="2" borderId="1" xfId="7" applyNumberFormat="1" applyFont="1" applyFill="1" applyBorder="1" applyAlignment="1">
      <alignment horizontal="center" vertical="center" shrinkToFit="1"/>
    </xf>
    <xf numFmtId="2" fontId="34" fillId="2" borderId="1" xfId="7" applyNumberFormat="1" applyFont="1" applyFill="1" applyBorder="1" applyAlignment="1">
      <alignment horizontal="center" vertical="center"/>
    </xf>
    <xf numFmtId="2" fontId="34" fillId="2" borderId="52" xfId="7" applyNumberFormat="1" applyFont="1" applyFill="1" applyBorder="1" applyAlignment="1">
      <alignment horizontal="center" vertical="top" shrinkToFit="1"/>
    </xf>
    <xf numFmtId="170" fontId="34" fillId="2" borderId="55" xfId="0" applyNumberFormat="1" applyFont="1" applyFill="1" applyBorder="1" applyAlignment="1">
      <alignment horizontal="center" vertical="center"/>
    </xf>
    <xf numFmtId="0" fontId="46" fillId="2" borderId="0" xfId="0" applyNumberFormat="1" applyFont="1" applyFill="1" applyAlignment="1">
      <alignment vertical="top"/>
    </xf>
    <xf numFmtId="165" fontId="87" fillId="2" borderId="83" xfId="0" applyNumberFormat="1" applyFont="1" applyFill="1" applyBorder="1" applyAlignment="1">
      <alignment horizontal="center" vertical="center" shrinkToFit="1"/>
    </xf>
    <xf numFmtId="165" fontId="87" fillId="2" borderId="14" xfId="0" applyNumberFormat="1" applyFont="1" applyFill="1" applyBorder="1" applyAlignment="1">
      <alignment horizontal="center" vertical="center" shrinkToFit="1"/>
    </xf>
    <xf numFmtId="165" fontId="87" fillId="2" borderId="88" xfId="0" applyNumberFormat="1" applyFont="1" applyFill="1" applyBorder="1" applyAlignment="1">
      <alignment horizontal="center" vertical="center" shrinkToFit="1"/>
    </xf>
    <xf numFmtId="0" fontId="3" fillId="29" borderId="0" xfId="2" applyFont="1" applyFill="1"/>
    <xf numFmtId="0" fontId="92" fillId="29" borderId="0" xfId="0" applyNumberFormat="1" applyFont="1" applyFill="1" applyAlignment="1">
      <alignment vertical="top"/>
    </xf>
    <xf numFmtId="165" fontId="34" fillId="2" borderId="106" xfId="0" applyNumberFormat="1" applyFont="1" applyFill="1" applyBorder="1" applyAlignment="1">
      <alignment horizontal="center" vertical="center"/>
    </xf>
    <xf numFmtId="165" fontId="34" fillId="2" borderId="92" xfId="0" applyNumberFormat="1" applyFont="1" applyFill="1" applyBorder="1" applyAlignment="1">
      <alignment horizontal="center" vertical="center" shrinkToFit="1"/>
    </xf>
    <xf numFmtId="0" fontId="92" fillId="2" borderId="0" xfId="0" applyNumberFormat="1" applyFont="1" applyFill="1" applyAlignment="1">
      <alignment vertical="top"/>
    </xf>
    <xf numFmtId="2" fontId="51" fillId="2" borderId="56" xfId="8" applyNumberFormat="1" applyFont="1" applyFill="1" applyBorder="1" applyAlignment="1">
      <alignment vertical="top"/>
    </xf>
    <xf numFmtId="2" fontId="51" fillId="2" borderId="55" xfId="8" applyNumberFormat="1" applyFont="1" applyFill="1" applyBorder="1" applyAlignment="1">
      <alignment vertical="top"/>
    </xf>
    <xf numFmtId="2" fontId="51" fillId="2" borderId="57" xfId="8" applyNumberFormat="1" applyFont="1" applyFill="1" applyBorder="1" applyAlignment="1">
      <alignment vertical="top"/>
    </xf>
    <xf numFmtId="2" fontId="33" fillId="2" borderId="55" xfId="0" applyNumberFormat="1" applyFont="1" applyFill="1" applyBorder="1" applyAlignment="1">
      <alignment horizontal="left" vertical="center"/>
    </xf>
    <xf numFmtId="2" fontId="34" fillId="2" borderId="55" xfId="0" applyNumberFormat="1" applyFont="1" applyFill="1" applyBorder="1" applyAlignment="1">
      <alignment horizontal="center" vertical="top"/>
    </xf>
    <xf numFmtId="10" fontId="39" fillId="2" borderId="0" xfId="0" applyNumberFormat="1" applyFont="1" applyFill="1" applyAlignment="1">
      <alignment vertical="top"/>
    </xf>
    <xf numFmtId="0" fontId="35" fillId="27" borderId="0" xfId="7" applyNumberFormat="1" applyFont="1" applyFill="1" applyAlignment="1">
      <alignment vertical="top"/>
    </xf>
    <xf numFmtId="0" fontId="34" fillId="30" borderId="0" xfId="0" applyNumberFormat="1" applyFont="1" applyFill="1" applyAlignment="1">
      <alignment vertical="top"/>
    </xf>
    <xf numFmtId="0" fontId="3" fillId="30" borderId="0" xfId="2" applyFont="1" applyFill="1"/>
    <xf numFmtId="0" fontId="92" fillId="30" borderId="0" xfId="0" applyNumberFormat="1" applyFont="1" applyFill="1" applyAlignment="1">
      <alignment vertical="top"/>
    </xf>
    <xf numFmtId="0" fontId="33" fillId="2" borderId="0" xfId="77" applyFont="1" applyFill="1" applyBorder="1" applyAlignment="1">
      <alignment horizontal="center" vertical="center"/>
    </xf>
    <xf numFmtId="0" fontId="42" fillId="2" borderId="55" xfId="77" applyFont="1" applyFill="1" applyBorder="1" applyAlignment="1">
      <alignment horizontal="center" vertical="center" wrapText="1"/>
    </xf>
    <xf numFmtId="0" fontId="42" fillId="2" borderId="55" xfId="77" applyFont="1" applyFill="1" applyBorder="1" applyAlignment="1">
      <alignment vertical="center" wrapText="1"/>
    </xf>
    <xf numFmtId="0" fontId="98" fillId="2" borderId="58" xfId="77" applyFont="1" applyFill="1" applyBorder="1" applyAlignment="1">
      <alignment horizontal="center" vertical="center" wrapText="1"/>
    </xf>
    <xf numFmtId="0" fontId="33" fillId="2" borderId="0" xfId="77" applyFont="1" applyFill="1" applyAlignment="1">
      <alignment horizontal="center" vertical="center"/>
    </xf>
    <xf numFmtId="2" fontId="34" fillId="2" borderId="59" xfId="79" applyNumberFormat="1" applyFont="1" applyFill="1" applyBorder="1" applyAlignment="1">
      <alignment horizontal="left" vertical="center"/>
    </xf>
    <xf numFmtId="2" fontId="34" fillId="2" borderId="82" xfId="79" applyNumberFormat="1" applyFont="1" applyFill="1" applyBorder="1" applyAlignment="1">
      <alignment vertical="top"/>
    </xf>
    <xf numFmtId="2" fontId="34" fillId="2" borderId="82" xfId="79" applyNumberFormat="1" applyFont="1" applyFill="1" applyBorder="1" applyAlignment="1">
      <alignment horizontal="center" vertical="top"/>
    </xf>
    <xf numFmtId="2" fontId="34" fillId="2" borderId="60" xfId="79" applyNumberFormat="1" applyFont="1" applyFill="1" applyBorder="1" applyAlignment="1">
      <alignment horizontal="center" vertical="top"/>
    </xf>
    <xf numFmtId="0" fontId="35" fillId="2" borderId="0" xfId="79" applyNumberFormat="1" applyFont="1" applyFill="1" applyAlignment="1">
      <alignment vertical="top"/>
    </xf>
    <xf numFmtId="2" fontId="34" fillId="2" borderId="51" xfId="79" applyNumberFormat="1" applyFont="1" applyFill="1" applyBorder="1" applyAlignment="1">
      <alignment horizontal="left" vertical="center"/>
    </xf>
    <xf numFmtId="2" fontId="34" fillId="2" borderId="1" xfId="79" applyNumberFormat="1" applyFont="1" applyFill="1" applyBorder="1" applyAlignment="1">
      <alignment vertical="top"/>
    </xf>
    <xf numFmtId="2" fontId="34" fillId="2" borderId="1" xfId="79" applyNumberFormat="1" applyFont="1" applyFill="1" applyBorder="1" applyAlignment="1">
      <alignment horizontal="center" vertical="top"/>
    </xf>
    <xf numFmtId="2" fontId="34" fillId="2" borderId="52" xfId="79" applyNumberFormat="1" applyFont="1" applyFill="1" applyBorder="1" applyAlignment="1">
      <alignment horizontal="center" vertical="top"/>
    </xf>
    <xf numFmtId="2" fontId="34" fillId="2" borderId="42" xfId="79" applyNumberFormat="1" applyFont="1" applyFill="1" applyBorder="1" applyAlignment="1">
      <alignment horizontal="left" vertical="center"/>
    </xf>
    <xf numFmtId="0" fontId="34" fillId="2" borderId="0" xfId="79" applyNumberFormat="1" applyFont="1" applyFill="1" applyBorder="1" applyAlignment="1">
      <alignment horizontal="center" vertical="center" shrinkToFit="1"/>
    </xf>
    <xf numFmtId="2" fontId="34" fillId="2" borderId="0" xfId="79" applyNumberFormat="1" applyFont="1" applyFill="1" applyBorder="1" applyAlignment="1">
      <alignment horizontal="center" vertical="center"/>
    </xf>
    <xf numFmtId="2" fontId="34" fillId="2" borderId="0" xfId="79" applyNumberFormat="1" applyFont="1" applyFill="1" applyBorder="1" applyAlignment="1">
      <alignment horizontal="center" vertical="top"/>
    </xf>
    <xf numFmtId="2" fontId="34" fillId="2" borderId="43" xfId="79" applyNumberFormat="1" applyFont="1" applyFill="1" applyBorder="1" applyAlignment="1">
      <alignment horizontal="center" vertical="top" shrinkToFit="1"/>
    </xf>
    <xf numFmtId="0" fontId="34" fillId="2" borderId="84" xfId="79" applyNumberFormat="1" applyFont="1" applyFill="1" applyBorder="1" applyAlignment="1">
      <alignment horizontal="center" vertical="top"/>
    </xf>
    <xf numFmtId="0" fontId="34" fillId="2" borderId="1" xfId="79" applyNumberFormat="1" applyFont="1" applyFill="1" applyBorder="1" applyAlignment="1">
      <alignment horizontal="center" vertical="center" shrinkToFit="1"/>
    </xf>
    <xf numFmtId="2" fontId="34" fillId="2" borderId="1" xfId="79" applyNumberFormat="1" applyFont="1" applyFill="1" applyBorder="1" applyAlignment="1">
      <alignment horizontal="center" vertical="center"/>
    </xf>
    <xf numFmtId="2" fontId="34" fillId="2" borderId="52" xfId="79" applyNumberFormat="1" applyFont="1" applyFill="1" applyBorder="1" applyAlignment="1">
      <alignment horizontal="center" vertical="top" shrinkToFit="1"/>
    </xf>
    <xf numFmtId="0" fontId="34" fillId="2" borderId="85" xfId="79" applyNumberFormat="1" applyFont="1" applyFill="1" applyBorder="1" applyAlignment="1">
      <alignment horizontal="center" vertical="top"/>
    </xf>
    <xf numFmtId="165" fontId="34" fillId="2" borderId="65" xfId="12" applyNumberFormat="1" applyFont="1" applyFill="1" applyBorder="1" applyAlignment="1">
      <alignment horizontal="center" vertical="center" shrinkToFit="1"/>
    </xf>
    <xf numFmtId="165" fontId="34" fillId="2" borderId="98" xfId="0" applyNumberFormat="1" applyFont="1" applyFill="1" applyBorder="1" applyAlignment="1">
      <alignment horizontal="center" vertical="center" shrinkToFit="1"/>
    </xf>
    <xf numFmtId="49" fontId="33" fillId="2" borderId="107" xfId="0" applyNumberFormat="1" applyFont="1" applyFill="1" applyBorder="1" applyAlignment="1">
      <alignment horizontal="left" vertical="center" wrapText="1"/>
    </xf>
    <xf numFmtId="169" fontId="34" fillId="2" borderId="14" xfId="0" applyNumberFormat="1" applyFont="1" applyFill="1" applyBorder="1" applyAlignment="1">
      <alignment horizontal="center" vertical="center" shrinkToFit="1"/>
    </xf>
    <xf numFmtId="165" fontId="34" fillId="2" borderId="14" xfId="0" applyNumberFormat="1" applyFont="1" applyFill="1" applyBorder="1" applyAlignment="1">
      <alignment horizontal="center" vertical="center" shrinkToFit="1"/>
    </xf>
    <xf numFmtId="2" fontId="34" fillId="2" borderId="92" xfId="0" applyNumberFormat="1" applyFont="1" applyFill="1" applyBorder="1" applyAlignment="1">
      <alignment horizontal="center" vertical="top" shrinkToFit="1"/>
    </xf>
    <xf numFmtId="167" fontId="56" fillId="2" borderId="0" xfId="0" applyNumberFormat="1" applyFont="1" applyFill="1" applyAlignment="1">
      <alignment vertical="top"/>
    </xf>
    <xf numFmtId="2" fontId="34" fillId="2" borderId="86" xfId="0" applyNumberFormat="1" applyFont="1" applyFill="1" applyBorder="1" applyAlignment="1">
      <alignment horizontal="center" vertical="top" shrinkToFit="1"/>
    </xf>
    <xf numFmtId="168" fontId="10" fillId="2" borderId="14" xfId="4" applyNumberFormat="1" applyFont="1" applyFill="1" applyBorder="1"/>
    <xf numFmtId="0" fontId="34" fillId="2" borderId="65" xfId="0" applyNumberFormat="1" applyFont="1" applyFill="1" applyBorder="1" applyAlignment="1">
      <alignment horizontal="center" vertical="center" shrinkToFit="1"/>
    </xf>
    <xf numFmtId="4" fontId="100" fillId="2" borderId="14" xfId="2" applyNumberFormat="1" applyFont="1" applyFill="1" applyBorder="1" applyAlignment="1">
      <alignment vertical="center"/>
    </xf>
    <xf numFmtId="168" fontId="7" fillId="2" borderId="26" xfId="75" applyNumberFormat="1" applyFont="1" applyFill="1" applyBorder="1"/>
    <xf numFmtId="168" fontId="41" fillId="2" borderId="57" xfId="166" applyNumberFormat="1" applyFont="1" applyFill="1" applyBorder="1" applyAlignment="1">
      <alignment horizontal="right"/>
    </xf>
    <xf numFmtId="174" fontId="3" fillId="2" borderId="0" xfId="2" applyNumberFormat="1" applyFont="1" applyFill="1"/>
    <xf numFmtId="0" fontId="32" fillId="2" borderId="0" xfId="2" applyFont="1" applyFill="1" applyBorder="1" applyAlignment="1">
      <alignment horizontal="center" vertical="center"/>
    </xf>
    <xf numFmtId="0" fontId="34" fillId="2" borderId="0" xfId="7" applyNumberFormat="1" applyFont="1" applyFill="1" applyAlignment="1">
      <alignment vertical="top"/>
    </xf>
    <xf numFmtId="165" fontId="34" fillId="2" borderId="65" xfId="79" applyNumberFormat="1" applyFont="1" applyFill="1" applyBorder="1" applyAlignment="1">
      <alignment horizontal="center" vertical="center" shrinkToFit="1"/>
    </xf>
    <xf numFmtId="169" fontId="34" fillId="27" borderId="26" xfId="166" applyNumberFormat="1" applyFont="1" applyFill="1" applyBorder="1" applyAlignment="1">
      <alignment horizontal="center" vertical="center"/>
    </xf>
    <xf numFmtId="168" fontId="34" fillId="2" borderId="55" xfId="0" applyNumberFormat="1" applyFont="1" applyFill="1" applyBorder="1" applyAlignment="1">
      <alignment horizontal="center" vertical="center"/>
    </xf>
    <xf numFmtId="2" fontId="34" fillId="2" borderId="88" xfId="0" applyNumberFormat="1" applyFont="1" applyFill="1" applyBorder="1" applyAlignment="1">
      <alignment horizontal="center" vertical="center" shrinkToFit="1"/>
    </xf>
    <xf numFmtId="0" fontId="34" fillId="0" borderId="0" xfId="0" applyNumberFormat="1" applyFont="1" applyFill="1" applyAlignment="1">
      <alignment vertical="top"/>
    </xf>
    <xf numFmtId="170" fontId="34" fillId="2" borderId="0" xfId="0" applyNumberFormat="1" applyFont="1" applyFill="1" applyAlignment="1">
      <alignment vertical="top"/>
    </xf>
    <xf numFmtId="0" fontId="46" fillId="29" borderId="0" xfId="0" applyNumberFormat="1" applyFont="1" applyFill="1" applyAlignment="1">
      <alignment vertical="top"/>
    </xf>
    <xf numFmtId="0" fontId="34" fillId="2" borderId="63" xfId="7" applyNumberFormat="1" applyFont="1" applyFill="1" applyBorder="1" applyAlignment="1">
      <alignment horizontal="center" vertical="center" shrinkToFit="1"/>
    </xf>
    <xf numFmtId="2" fontId="34" fillId="2" borderId="63" xfId="7" applyNumberFormat="1" applyFont="1" applyFill="1" applyBorder="1" applyAlignment="1">
      <alignment horizontal="center" vertical="center" shrinkToFit="1"/>
    </xf>
    <xf numFmtId="2" fontId="34" fillId="2" borderId="86" xfId="7" applyNumberFormat="1" applyFont="1" applyFill="1" applyBorder="1" applyAlignment="1">
      <alignment horizontal="center" vertical="center" shrinkToFit="1"/>
    </xf>
    <xf numFmtId="0" fontId="34" fillId="2" borderId="55" xfId="7" applyNumberFormat="1" applyFont="1" applyFill="1" applyBorder="1" applyAlignment="1">
      <alignment horizontal="center" vertical="center" shrinkToFit="1"/>
    </xf>
    <xf numFmtId="2" fontId="34" fillId="2" borderId="55" xfId="7" applyNumberFormat="1" applyFont="1" applyFill="1" applyBorder="1" applyAlignment="1">
      <alignment horizontal="center" vertical="center"/>
    </xf>
    <xf numFmtId="2" fontId="34" fillId="2" borderId="26" xfId="7" applyNumberFormat="1" applyFont="1" applyFill="1" applyBorder="1" applyAlignment="1">
      <alignment horizontal="center" vertical="center" shrinkToFit="1"/>
    </xf>
    <xf numFmtId="0" fontId="35" fillId="2" borderId="0" xfId="109" applyNumberFormat="1" applyFont="1" applyFill="1" applyAlignment="1">
      <alignment vertical="top"/>
    </xf>
    <xf numFmtId="2" fontId="34" fillId="2" borderId="60" xfId="7" applyNumberFormat="1" applyFont="1" applyFill="1" applyBorder="1" applyAlignment="1">
      <alignment horizontal="center" vertical="center" shrinkToFit="1"/>
    </xf>
    <xf numFmtId="2" fontId="34" fillId="2" borderId="52" xfId="7" applyNumberFormat="1" applyFont="1" applyFill="1" applyBorder="1" applyAlignment="1">
      <alignment horizontal="center" vertical="center" shrinkToFit="1"/>
    </xf>
    <xf numFmtId="0" fontId="35" fillId="31" borderId="0" xfId="7" applyFont="1" applyFill="1"/>
    <xf numFmtId="0" fontId="35" fillId="31" borderId="0" xfId="7" applyNumberFormat="1" applyFont="1" applyFill="1" applyAlignment="1">
      <alignment vertical="top"/>
    </xf>
    <xf numFmtId="0" fontId="35" fillId="30" borderId="0" xfId="7" applyFont="1" applyFill="1"/>
    <xf numFmtId="0" fontId="35" fillId="30" borderId="0" xfId="7" applyNumberFormat="1" applyFont="1" applyFill="1" applyAlignment="1">
      <alignment vertical="top"/>
    </xf>
    <xf numFmtId="0" fontId="35" fillId="32" borderId="0" xfId="7" applyNumberFormat="1" applyFont="1" applyFill="1" applyAlignment="1">
      <alignment vertical="top"/>
    </xf>
    <xf numFmtId="0" fontId="3" fillId="27" borderId="0" xfId="2" applyFont="1" applyFill="1"/>
    <xf numFmtId="0" fontId="35" fillId="27" borderId="0" xfId="109" applyNumberFormat="1" applyFont="1" applyFill="1" applyAlignment="1">
      <alignment vertical="top"/>
    </xf>
    <xf numFmtId="0" fontId="83" fillId="27" borderId="0" xfId="0" applyFont="1" applyFill="1"/>
    <xf numFmtId="0" fontId="0" fillId="27" borderId="0" xfId="0" applyFill="1"/>
    <xf numFmtId="0" fontId="34" fillId="27" borderId="0" xfId="7" applyNumberFormat="1" applyFont="1" applyFill="1" applyAlignment="1">
      <alignment vertical="top"/>
    </xf>
    <xf numFmtId="0" fontId="56" fillId="34" borderId="0" xfId="0" applyNumberFormat="1" applyFont="1" applyFill="1" applyAlignment="1">
      <alignment vertical="top"/>
    </xf>
    <xf numFmtId="167" fontId="56" fillId="34" borderId="0" xfId="0" applyNumberFormat="1" applyFont="1" applyFill="1" applyAlignment="1">
      <alignment vertical="top"/>
    </xf>
    <xf numFmtId="0" fontId="0" fillId="26" borderId="0" xfId="0" applyFill="1"/>
    <xf numFmtId="0" fontId="34" fillId="33" borderId="0" xfId="0" applyNumberFormat="1" applyFont="1" applyFill="1" applyAlignment="1">
      <alignment vertical="top"/>
    </xf>
    <xf numFmtId="167" fontId="34" fillId="33" borderId="0" xfId="0" applyNumberFormat="1" applyFont="1" applyFill="1" applyAlignment="1">
      <alignment vertical="top"/>
    </xf>
    <xf numFmtId="0" fontId="0" fillId="0" borderId="0" xfId="0" applyFill="1"/>
    <xf numFmtId="0" fontId="34" fillId="26" borderId="0" xfId="7" applyNumberFormat="1" applyFont="1" applyFill="1" applyAlignment="1">
      <alignment vertical="top"/>
    </xf>
    <xf numFmtId="0" fontId="35" fillId="0" borderId="0" xfId="7" applyNumberFormat="1" applyFont="1" applyAlignment="1">
      <alignment vertical="top"/>
    </xf>
    <xf numFmtId="0" fontId="34" fillId="29" borderId="0" xfId="0" applyNumberFormat="1" applyFont="1" applyFill="1" applyAlignment="1">
      <alignment vertical="top"/>
    </xf>
    <xf numFmtId="167" fontId="34" fillId="28" borderId="0" xfId="0" applyNumberFormat="1" applyFont="1" applyFill="1" applyAlignment="1">
      <alignment vertical="top"/>
    </xf>
    <xf numFmtId="167" fontId="34" fillId="30" borderId="0" xfId="0" applyNumberFormat="1" applyFont="1" applyFill="1" applyAlignment="1">
      <alignment vertical="top"/>
    </xf>
    <xf numFmtId="0" fontId="34" fillId="35" borderId="0" xfId="0" applyNumberFormat="1" applyFont="1" applyFill="1" applyAlignment="1">
      <alignment vertical="top"/>
    </xf>
    <xf numFmtId="0" fontId="3" fillId="35" borderId="0" xfId="2" applyFont="1" applyFill="1"/>
    <xf numFmtId="0" fontId="92" fillId="35" borderId="0" xfId="0" applyNumberFormat="1" applyFont="1" applyFill="1" applyAlignment="1">
      <alignment vertical="top"/>
    </xf>
    <xf numFmtId="0" fontId="33" fillId="2" borderId="53" xfId="77" applyFont="1" applyFill="1" applyBorder="1" applyAlignment="1">
      <alignment horizontal="center" vertical="center"/>
    </xf>
    <xf numFmtId="0" fontId="34" fillId="2" borderId="82" xfId="7" applyNumberFormat="1" applyFont="1" applyFill="1" applyBorder="1" applyAlignment="1">
      <alignment horizontal="center" vertical="center" shrinkToFit="1"/>
    </xf>
    <xf numFmtId="2" fontId="34" fillId="2" borderId="82" xfId="7" applyNumberFormat="1" applyFont="1" applyFill="1" applyBorder="1" applyAlignment="1">
      <alignment horizontal="center" vertical="center"/>
    </xf>
    <xf numFmtId="2" fontId="34" fillId="2" borderId="60" xfId="7" applyNumberFormat="1" applyFont="1" applyFill="1" applyBorder="1" applyAlignment="1">
      <alignment horizontal="center" vertical="top" shrinkToFit="1"/>
    </xf>
    <xf numFmtId="2" fontId="34" fillId="2" borderId="82" xfId="7" applyNumberFormat="1" applyFont="1" applyFill="1" applyBorder="1" applyAlignment="1">
      <alignment vertical="top"/>
    </xf>
    <xf numFmtId="2" fontId="34" fillId="2" borderId="1" xfId="7" applyNumberFormat="1" applyFont="1" applyFill="1" applyBorder="1" applyAlignment="1">
      <alignment vertical="top"/>
    </xf>
    <xf numFmtId="2" fontId="34" fillId="2" borderId="55" xfId="7" applyNumberFormat="1" applyFont="1" applyFill="1" applyBorder="1" applyAlignment="1">
      <alignment vertical="top"/>
    </xf>
    <xf numFmtId="2" fontId="34" fillId="2" borderId="55" xfId="7" applyNumberFormat="1" applyFont="1" applyFill="1" applyBorder="1" applyAlignment="1">
      <alignment horizontal="center" vertical="top"/>
    </xf>
    <xf numFmtId="2" fontId="34" fillId="2" borderId="57" xfId="7" applyNumberFormat="1" applyFont="1" applyFill="1" applyBorder="1" applyAlignment="1">
      <alignment horizontal="center" vertical="top" shrinkToFit="1"/>
    </xf>
    <xf numFmtId="49" fontId="34" fillId="2" borderId="62" xfId="7" applyNumberFormat="1" applyFont="1" applyFill="1" applyBorder="1" applyAlignment="1">
      <alignment horizontal="left" vertical="center" wrapText="1"/>
    </xf>
    <xf numFmtId="2" fontId="34" fillId="2" borderId="63" xfId="7" applyNumberFormat="1" applyFont="1" applyFill="1" applyBorder="1" applyAlignment="1">
      <alignment horizontal="center" vertical="center"/>
    </xf>
    <xf numFmtId="165" fontId="87" fillId="2" borderId="64" xfId="0" applyNumberFormat="1" applyFont="1" applyFill="1" applyBorder="1" applyAlignment="1">
      <alignment horizontal="center" vertical="center" shrinkToFit="1"/>
    </xf>
    <xf numFmtId="165" fontId="87" fillId="2" borderId="18" xfId="0" applyNumberFormat="1" applyFont="1" applyFill="1" applyBorder="1" applyAlignment="1">
      <alignment horizontal="center" vertical="center" shrinkToFit="1"/>
    </xf>
    <xf numFmtId="2" fontId="46" fillId="2" borderId="57" xfId="0" applyNumberFormat="1" applyFont="1" applyFill="1" applyBorder="1" applyAlignment="1">
      <alignment horizontal="center" vertical="center" shrinkToFit="1"/>
    </xf>
    <xf numFmtId="165" fontId="34" fillId="2" borderId="65" xfId="0" applyNumberFormat="1" applyFont="1" applyFill="1" applyBorder="1" applyAlignment="1">
      <alignment horizontal="center" vertical="center"/>
    </xf>
    <xf numFmtId="0" fontId="34" fillId="2" borderId="0" xfId="2" applyFont="1" applyFill="1" applyAlignment="1">
      <alignment horizontal="left"/>
    </xf>
    <xf numFmtId="4" fontId="89" fillId="2" borderId="14" xfId="2" applyNumberFormat="1" applyFont="1" applyFill="1" applyBorder="1" applyAlignment="1">
      <alignment horizontal="right" vertical="center"/>
    </xf>
    <xf numFmtId="2" fontId="89" fillId="0" borderId="0" xfId="2" applyNumberFormat="1" applyFont="1" applyFill="1"/>
    <xf numFmtId="4" fontId="104" fillId="2" borderId="14" xfId="2" applyNumberFormat="1" applyFont="1" applyFill="1" applyBorder="1" applyAlignment="1">
      <alignment horizontal="centerContinuous" vertical="center" wrapText="1"/>
    </xf>
    <xf numFmtId="0" fontId="34" fillId="0" borderId="84" xfId="7" applyNumberFormat="1" applyFont="1" applyFill="1" applyBorder="1" applyAlignment="1">
      <alignment horizontal="center" vertical="top"/>
    </xf>
    <xf numFmtId="0" fontId="34" fillId="0" borderId="0" xfId="0" applyFont="1" applyFill="1"/>
    <xf numFmtId="0" fontId="34" fillId="0" borderId="85" xfId="7" applyNumberFormat="1" applyFont="1" applyFill="1" applyBorder="1" applyAlignment="1">
      <alignment horizontal="center" vertical="top"/>
    </xf>
    <xf numFmtId="2" fontId="34" fillId="2" borderId="56" xfId="2" applyNumberFormat="1" applyFont="1" applyFill="1" applyBorder="1" applyAlignment="1">
      <alignment vertical="top"/>
    </xf>
    <xf numFmtId="0" fontId="34" fillId="2" borderId="55" xfId="2" applyNumberFormat="1" applyFont="1" applyFill="1" applyBorder="1" applyAlignment="1">
      <alignment horizontal="center" vertical="center" shrinkToFit="1"/>
    </xf>
    <xf numFmtId="1" fontId="34" fillId="2" borderId="55" xfId="2" applyNumberFormat="1" applyFont="1" applyFill="1" applyBorder="1" applyAlignment="1">
      <alignment horizontal="center" vertical="center"/>
    </xf>
    <xf numFmtId="0" fontId="34" fillId="2" borderId="55" xfId="2" applyNumberFormat="1" applyFont="1" applyFill="1" applyBorder="1" applyAlignment="1">
      <alignment horizontal="center" vertical="top"/>
    </xf>
    <xf numFmtId="168" fontId="34" fillId="2" borderId="57" xfId="2" applyNumberFormat="1" applyFont="1" applyFill="1" applyBorder="1" applyAlignment="1">
      <alignment horizontal="center" vertical="top" shrinkToFit="1"/>
    </xf>
    <xf numFmtId="2" fontId="34" fillId="2" borderId="44" xfId="143" applyNumberFormat="1" applyFont="1" applyFill="1" applyBorder="1" applyAlignment="1">
      <alignment horizontal="center" vertical="center" shrinkToFit="1"/>
    </xf>
    <xf numFmtId="0" fontId="34" fillId="2" borderId="0" xfId="2" applyNumberFormat="1" applyFont="1" applyFill="1" applyAlignment="1">
      <alignment vertical="top"/>
    </xf>
    <xf numFmtId="49" fontId="33" fillId="2" borderId="62" xfId="194" applyNumberFormat="1" applyFont="1" applyFill="1" applyBorder="1" applyAlignment="1">
      <alignment horizontal="left" vertical="center" wrapText="1"/>
    </xf>
    <xf numFmtId="0" fontId="34" fillId="2" borderId="63" xfId="194" applyNumberFormat="1" applyFont="1" applyFill="1" applyBorder="1" applyAlignment="1">
      <alignment horizontal="center" vertical="center" shrinkToFit="1"/>
    </xf>
    <xf numFmtId="1" fontId="34" fillId="2" borderId="63" xfId="194" applyNumberFormat="1" applyFont="1" applyFill="1" applyBorder="1" applyAlignment="1">
      <alignment horizontal="center" vertical="center" shrinkToFit="1"/>
    </xf>
    <xf numFmtId="1" fontId="34" fillId="2" borderId="63" xfId="194" applyNumberFormat="1" applyFont="1" applyFill="1" applyBorder="1" applyAlignment="1">
      <alignment horizontal="center" vertical="center"/>
    </xf>
    <xf numFmtId="168" fontId="34" fillId="2" borderId="86" xfId="194" applyNumberFormat="1" applyFont="1" applyFill="1" applyBorder="1" applyAlignment="1">
      <alignment horizontal="center" vertical="center" shrinkToFit="1"/>
    </xf>
    <xf numFmtId="2" fontId="34" fillId="2" borderId="26" xfId="143" applyNumberFormat="1" applyFont="1" applyFill="1" applyBorder="1" applyAlignment="1">
      <alignment horizontal="center" vertical="center" shrinkToFit="1"/>
    </xf>
    <xf numFmtId="1" fontId="34" fillId="2" borderId="55" xfId="0" applyNumberFormat="1" applyFont="1" applyFill="1" applyBorder="1" applyAlignment="1">
      <alignment horizontal="center" vertical="center"/>
    </xf>
    <xf numFmtId="49" fontId="105" fillId="2" borderId="62" xfId="0" applyNumberFormat="1" applyFont="1" applyFill="1" applyBorder="1" applyAlignment="1">
      <alignment horizontal="left" vertical="top" wrapText="1"/>
    </xf>
    <xf numFmtId="1" fontId="34" fillId="2" borderId="63" xfId="0" applyNumberFormat="1" applyFont="1" applyFill="1" applyBorder="1" applyAlignment="1">
      <alignment horizontal="center" vertical="center" shrinkToFit="1"/>
    </xf>
    <xf numFmtId="1" fontId="34" fillId="2" borderId="63" xfId="0" applyNumberFormat="1" applyFont="1" applyFill="1" applyBorder="1" applyAlignment="1">
      <alignment horizontal="center" vertical="center"/>
    </xf>
    <xf numFmtId="2" fontId="34" fillId="2" borderId="55" xfId="0" applyNumberFormat="1" applyFont="1" applyFill="1" applyBorder="1" applyAlignment="1">
      <alignment horizontal="center" vertical="center" shrinkToFit="1"/>
    </xf>
    <xf numFmtId="2" fontId="34" fillId="2" borderId="57" xfId="0" applyNumberFormat="1" applyFont="1" applyFill="1" applyBorder="1" applyAlignment="1">
      <alignment horizontal="center" vertical="center" shrinkToFit="1"/>
    </xf>
    <xf numFmtId="2" fontId="34" fillId="2" borderId="55" xfId="0" applyNumberFormat="1" applyFont="1" applyFill="1" applyBorder="1" applyAlignment="1">
      <alignment horizontal="center" vertical="center"/>
    </xf>
    <xf numFmtId="2" fontId="34" fillId="2" borderId="50" xfId="0" applyNumberFormat="1" applyFont="1" applyFill="1" applyBorder="1" applyAlignment="1">
      <alignment horizontal="center" vertical="center" shrinkToFit="1"/>
    </xf>
    <xf numFmtId="2" fontId="34" fillId="2" borderId="41" xfId="0" applyNumberFormat="1" applyFont="1" applyFill="1" applyBorder="1" applyAlignment="1">
      <alignment horizontal="center" vertical="center" shrinkToFit="1"/>
    </xf>
    <xf numFmtId="2" fontId="34" fillId="2" borderId="26" xfId="0" applyNumberFormat="1" applyFont="1" applyFill="1" applyBorder="1" applyAlignment="1">
      <alignment horizontal="center" vertical="center" wrapText="1" shrinkToFit="1"/>
    </xf>
    <xf numFmtId="2" fontId="34" fillId="2" borderId="26" xfId="0" applyNumberFormat="1" applyFont="1" applyFill="1" applyBorder="1" applyAlignment="1">
      <alignment horizontal="center" vertical="center" shrinkToFit="1"/>
    </xf>
    <xf numFmtId="2" fontId="46" fillId="2" borderId="26" xfId="0" applyNumberFormat="1" applyFont="1" applyFill="1" applyBorder="1" applyAlignment="1">
      <alignment horizontal="center" vertical="center" shrinkToFit="1"/>
    </xf>
    <xf numFmtId="2" fontId="34" fillId="2" borderId="57" xfId="0" applyNumberFormat="1" applyFont="1" applyFill="1" applyBorder="1" applyAlignment="1">
      <alignment horizontal="center" vertical="top" shrinkToFit="1"/>
    </xf>
    <xf numFmtId="0" fontId="34" fillId="2" borderId="84" xfId="7" applyNumberFormat="1" applyFont="1" applyFill="1" applyBorder="1" applyAlignment="1">
      <alignment horizontal="center" vertical="top"/>
    </xf>
    <xf numFmtId="0" fontId="34" fillId="2" borderId="85" xfId="7" applyNumberFormat="1" applyFont="1" applyFill="1" applyBorder="1" applyAlignment="1">
      <alignment horizontal="center" vertical="top"/>
    </xf>
    <xf numFmtId="0" fontId="31" fillId="2" borderId="0" xfId="2" applyFont="1" applyFill="1" applyBorder="1" applyAlignment="1">
      <alignment horizontal="right"/>
    </xf>
    <xf numFmtId="0" fontId="41" fillId="2" borderId="55" xfId="2" applyFont="1" applyFill="1" applyBorder="1" applyAlignment="1">
      <alignment horizontal="center"/>
    </xf>
    <xf numFmtId="0" fontId="53" fillId="2" borderId="55" xfId="2" applyFont="1" applyFill="1" applyBorder="1" applyAlignment="1">
      <alignment horizontal="center" vertical="center" wrapText="1"/>
    </xf>
    <xf numFmtId="0" fontId="42" fillId="2" borderId="66" xfId="77" applyFont="1" applyFill="1" applyBorder="1" applyAlignment="1">
      <alignment horizontal="center" vertical="center"/>
    </xf>
    <xf numFmtId="165" fontId="34" fillId="2" borderId="55" xfId="0" applyNumberFormat="1" applyFont="1" applyFill="1" applyBorder="1" applyAlignment="1">
      <alignment horizontal="center" vertical="center"/>
    </xf>
    <xf numFmtId="2" fontId="39" fillId="2" borderId="54" xfId="166" applyNumberFormat="1" applyFont="1" applyFill="1" applyBorder="1" applyAlignment="1">
      <alignment horizontal="center" vertical="center"/>
    </xf>
    <xf numFmtId="0" fontId="39" fillId="2" borderId="55" xfId="2" applyFont="1" applyFill="1" applyBorder="1" applyAlignment="1">
      <alignment horizontal="center" vertical="center" wrapText="1"/>
    </xf>
    <xf numFmtId="168" fontId="3" fillId="2" borderId="0" xfId="2" applyNumberFormat="1" applyFont="1" applyFill="1"/>
    <xf numFmtId="165" fontId="2" fillId="2" borderId="63" xfId="0" applyNumberFormat="1" applyFont="1" applyFill="1" applyBorder="1" applyAlignment="1">
      <alignment horizontal="center" vertical="center" shrinkToFit="1"/>
    </xf>
    <xf numFmtId="0" fontId="35" fillId="2" borderId="0" xfId="6" applyNumberFormat="1" applyFont="1" applyFill="1" applyAlignment="1">
      <alignment vertical="top"/>
    </xf>
    <xf numFmtId="2" fontId="34" fillId="2" borderId="52" xfId="7" applyNumberFormat="1" applyFont="1" applyFill="1" applyBorder="1" applyAlignment="1">
      <alignment horizontal="center" vertical="center" shrinkToFit="1"/>
    </xf>
    <xf numFmtId="0" fontId="110" fillId="2" borderId="0" xfId="0" applyFont="1" applyFill="1"/>
    <xf numFmtId="0" fontId="111" fillId="2" borderId="0" xfId="148" applyFont="1" applyFill="1"/>
    <xf numFmtId="0" fontId="114" fillId="2" borderId="0" xfId="0" applyNumberFormat="1" applyFont="1" applyFill="1" applyAlignment="1">
      <alignment vertical="top"/>
    </xf>
    <xf numFmtId="2" fontId="34" fillId="2" borderId="55" xfId="193" applyNumberFormat="1" applyFont="1" applyFill="1" applyBorder="1" applyAlignment="1">
      <alignment horizontal="center" vertical="center"/>
    </xf>
    <xf numFmtId="2" fontId="34" fillId="2" borderId="57" xfId="193" applyNumberFormat="1" applyFont="1" applyFill="1" applyBorder="1" applyAlignment="1">
      <alignment horizontal="center" vertical="center" shrinkToFit="1"/>
    </xf>
    <xf numFmtId="165" fontId="34" fillId="2" borderId="88" xfId="193" applyNumberFormat="1" applyFont="1" applyFill="1" applyBorder="1" applyAlignment="1">
      <alignment horizontal="center" vertical="center" shrinkToFit="1"/>
    </xf>
    <xf numFmtId="2" fontId="34" fillId="2" borderId="88" xfId="193" applyNumberFormat="1" applyFont="1" applyFill="1" applyBorder="1" applyAlignment="1">
      <alignment horizontal="center" vertical="center"/>
    </xf>
    <xf numFmtId="2" fontId="34" fillId="2" borderId="98" xfId="193" applyNumberFormat="1" applyFont="1" applyFill="1" applyBorder="1" applyAlignment="1">
      <alignment horizontal="center" vertical="center" shrinkToFit="1"/>
    </xf>
    <xf numFmtId="0" fontId="87" fillId="2" borderId="0" xfId="0" applyNumberFormat="1" applyFont="1" applyFill="1" applyAlignment="1">
      <alignment vertical="top"/>
    </xf>
    <xf numFmtId="2" fontId="34" fillId="2" borderId="64" xfId="193" applyNumberFormat="1" applyFont="1" applyFill="1" applyBorder="1" applyAlignment="1">
      <alignment horizontal="center" vertical="center" shrinkToFit="1"/>
    </xf>
    <xf numFmtId="2" fontId="34" fillId="2" borderId="64" xfId="193" applyNumberFormat="1" applyFont="1" applyFill="1" applyBorder="1" applyAlignment="1">
      <alignment horizontal="center" vertical="center"/>
    </xf>
    <xf numFmtId="2" fontId="34" fillId="2" borderId="81" xfId="193" applyNumberFormat="1" applyFont="1" applyFill="1" applyBorder="1" applyAlignment="1">
      <alignment horizontal="center" vertical="center" shrinkToFit="1"/>
    </xf>
    <xf numFmtId="0" fontId="112" fillId="2" borderId="0" xfId="0" applyNumberFormat="1" applyFont="1" applyFill="1" applyAlignment="1">
      <alignment vertical="top"/>
    </xf>
    <xf numFmtId="167" fontId="34" fillId="2" borderId="0" xfId="0" applyNumberFormat="1" applyFont="1" applyFill="1" applyAlignment="1">
      <alignment horizontal="center" vertical="top"/>
    </xf>
    <xf numFmtId="0" fontId="116" fillId="37" borderId="0" xfId="0" applyFont="1" applyFill="1"/>
    <xf numFmtId="0" fontId="64" fillId="37" borderId="0" xfId="148" applyFont="1" applyFill="1"/>
    <xf numFmtId="0" fontId="3" fillId="2" borderId="0" xfId="0" applyFont="1" applyFill="1"/>
    <xf numFmtId="0" fontId="107" fillId="2" borderId="0" xfId="0" applyNumberFormat="1" applyFont="1" applyFill="1" applyAlignment="1">
      <alignment vertical="top"/>
    </xf>
    <xf numFmtId="0" fontId="46" fillId="2" borderId="0" xfId="76" applyNumberFormat="1" applyFont="1" applyFill="1" applyAlignment="1">
      <alignment vertical="top"/>
    </xf>
    <xf numFmtId="0" fontId="36" fillId="2" borderId="56" xfId="148" applyFont="1" applyFill="1" applyBorder="1" applyAlignment="1">
      <alignment vertical="center"/>
    </xf>
    <xf numFmtId="0" fontId="36" fillId="2" borderId="55" xfId="148" applyFont="1" applyFill="1" applyBorder="1" applyAlignment="1">
      <alignment vertical="center"/>
    </xf>
    <xf numFmtId="0" fontId="117" fillId="2" borderId="0" xfId="0" applyFont="1" applyFill="1"/>
    <xf numFmtId="0" fontId="118" fillId="2" borderId="0" xfId="148" applyFont="1" applyFill="1"/>
    <xf numFmtId="0" fontId="36" fillId="2" borderId="55" xfId="148" applyFont="1" applyFill="1" applyBorder="1" applyAlignment="1">
      <alignment horizontal="left" vertical="center"/>
    </xf>
    <xf numFmtId="49" fontId="105" fillId="2" borderId="62" xfId="0" applyNumberFormat="1" applyFont="1" applyFill="1" applyBorder="1" applyAlignment="1">
      <alignment horizontal="left" vertical="center" wrapText="1"/>
    </xf>
    <xf numFmtId="0" fontId="3" fillId="2" borderId="0" xfId="2" applyFont="1" applyFill="1" applyBorder="1"/>
    <xf numFmtId="0" fontId="35" fillId="2" borderId="48" xfId="7" applyNumberFormat="1" applyFont="1" applyFill="1" applyBorder="1" applyAlignment="1">
      <alignment vertical="center"/>
    </xf>
    <xf numFmtId="0" fontId="35" fillId="2" borderId="0" xfId="7" applyNumberFormat="1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167" fontId="34" fillId="2" borderId="0" xfId="7" applyNumberFormat="1" applyFont="1" applyFill="1" applyBorder="1" applyAlignment="1">
      <alignment horizontal="center" vertical="top"/>
    </xf>
    <xf numFmtId="167" fontId="34" fillId="2" borderId="0" xfId="7" applyNumberFormat="1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49" fontId="33" fillId="2" borderId="108" xfId="0" applyNumberFormat="1" applyFont="1" applyFill="1" applyBorder="1" applyAlignment="1">
      <alignment horizontal="left" vertical="center" wrapText="1"/>
    </xf>
    <xf numFmtId="165" fontId="34" fillId="2" borderId="1" xfId="0" applyNumberFormat="1" applyFont="1" applyFill="1" applyBorder="1" applyAlignment="1">
      <alignment horizontal="center" vertical="center"/>
    </xf>
    <xf numFmtId="0" fontId="34" fillId="2" borderId="55" xfId="2" applyNumberFormat="1" applyFont="1" applyFill="1" applyBorder="1" applyAlignment="1">
      <alignment horizontal="center" vertical="center"/>
    </xf>
    <xf numFmtId="0" fontId="41" fillId="2" borderId="55" xfId="148" applyFont="1" applyFill="1" applyBorder="1" applyAlignment="1">
      <alignment horizontal="center" vertical="center"/>
    </xf>
    <xf numFmtId="0" fontId="36" fillId="2" borderId="55" xfId="148" applyFont="1" applyFill="1" applyBorder="1" applyAlignment="1">
      <alignment horizontal="center" vertical="center"/>
    </xf>
    <xf numFmtId="0" fontId="37" fillId="2" borderId="0" xfId="2" applyFont="1" applyFill="1" applyBorder="1" applyAlignment="1">
      <alignment horizontal="left" vertical="center"/>
    </xf>
    <xf numFmtId="0" fontId="33" fillId="2" borderId="0" xfId="2" applyFont="1" applyFill="1" applyBorder="1" applyAlignment="1">
      <alignment horizontal="left" vertical="center"/>
    </xf>
    <xf numFmtId="0" fontId="40" fillId="2" borderId="0" xfId="2" applyFont="1" applyFill="1" applyBorder="1" applyAlignment="1">
      <alignment horizontal="left" vertical="center"/>
    </xf>
    <xf numFmtId="0" fontId="53" fillId="2" borderId="26" xfId="2" applyFont="1" applyFill="1" applyBorder="1" applyAlignment="1">
      <alignment horizontal="left" vertical="center"/>
    </xf>
    <xf numFmtId="2" fontId="52" fillId="2" borderId="55" xfId="2" applyNumberFormat="1" applyFont="1" applyFill="1" applyBorder="1" applyAlignment="1">
      <alignment horizontal="left" vertical="center"/>
    </xf>
    <xf numFmtId="2" fontId="51" fillId="2" borderId="0" xfId="2" applyNumberFormat="1" applyFont="1" applyFill="1" applyBorder="1" applyAlignment="1">
      <alignment horizontal="left" vertical="center"/>
    </xf>
    <xf numFmtId="2" fontId="52" fillId="2" borderId="68" xfId="2" applyNumberFormat="1" applyFont="1" applyFill="1" applyBorder="1" applyAlignment="1">
      <alignment horizontal="left" vertical="center"/>
    </xf>
    <xf numFmtId="2" fontId="60" fillId="2" borderId="0" xfId="2" applyNumberFormat="1" applyFont="1" applyFill="1" applyBorder="1" applyAlignment="1">
      <alignment horizontal="left" vertical="center"/>
    </xf>
    <xf numFmtId="0" fontId="61" fillId="2" borderId="0" xfId="2" applyFont="1" applyFill="1" applyAlignment="1">
      <alignment horizontal="left" vertical="center"/>
    </xf>
    <xf numFmtId="0" fontId="86" fillId="2" borderId="0" xfId="2" applyFont="1" applyFill="1" applyBorder="1" applyAlignment="1">
      <alignment horizontal="left" vertical="center"/>
    </xf>
    <xf numFmtId="0" fontId="116" fillId="2" borderId="0" xfId="0" applyFont="1" applyFill="1" applyAlignment="1">
      <alignment horizontal="left" vertical="center"/>
    </xf>
    <xf numFmtId="2" fontId="34" fillId="2" borderId="59" xfId="7" applyNumberFormat="1" applyFont="1" applyFill="1" applyBorder="1" applyAlignment="1">
      <alignment horizontal="left" vertical="center"/>
    </xf>
    <xf numFmtId="2" fontId="34" fillId="2" borderId="51" xfId="7" applyNumberFormat="1" applyFont="1" applyFill="1" applyBorder="1" applyAlignment="1">
      <alignment horizontal="left" vertical="center"/>
    </xf>
    <xf numFmtId="2" fontId="33" fillId="2" borderId="1" xfId="0" applyNumberFormat="1" applyFont="1" applyFill="1" applyBorder="1" applyAlignment="1">
      <alignment horizontal="left" vertical="center"/>
    </xf>
    <xf numFmtId="2" fontId="34" fillId="2" borderId="42" xfId="7" applyNumberFormat="1" applyFont="1" applyFill="1" applyBorder="1" applyAlignment="1">
      <alignment horizontal="left" vertical="center"/>
    </xf>
    <xf numFmtId="2" fontId="34" fillId="2" borderId="56" xfId="2" applyNumberFormat="1" applyFont="1" applyFill="1" applyBorder="1" applyAlignment="1">
      <alignment horizontal="left" vertical="center"/>
    </xf>
    <xf numFmtId="0" fontId="113" fillId="2" borderId="55" xfId="0" applyFont="1" applyFill="1" applyBorder="1" applyAlignment="1">
      <alignment horizontal="left" vertical="center"/>
    </xf>
    <xf numFmtId="0" fontId="112" fillId="0" borderId="0" xfId="0" applyNumberFormat="1" applyFont="1" applyFill="1" applyAlignment="1">
      <alignment vertical="top"/>
    </xf>
    <xf numFmtId="0" fontId="113" fillId="2" borderId="1" xfId="148" applyFont="1" applyFill="1" applyBorder="1" applyAlignment="1">
      <alignment horizontal="center" vertical="center"/>
    </xf>
    <xf numFmtId="0" fontId="49" fillId="2" borderId="68" xfId="2" applyNumberFormat="1" applyFont="1" applyFill="1" applyBorder="1" applyAlignment="1">
      <alignment horizontal="center" vertical="center"/>
    </xf>
    <xf numFmtId="2" fontId="49" fillId="2" borderId="70" xfId="2" applyNumberFormat="1" applyFont="1" applyFill="1" applyBorder="1" applyAlignment="1">
      <alignment horizontal="center" vertical="center" shrinkToFit="1"/>
    </xf>
    <xf numFmtId="2" fontId="34" fillId="2" borderId="0" xfId="2" applyNumberFormat="1" applyFont="1" applyFill="1" applyBorder="1" applyAlignment="1">
      <alignment horizontal="center" vertical="center"/>
    </xf>
    <xf numFmtId="2" fontId="47" fillId="2" borderId="0" xfId="2" applyNumberFormat="1" applyFont="1" applyFill="1" applyBorder="1" applyAlignment="1">
      <alignment horizontal="center" vertical="center"/>
    </xf>
    <xf numFmtId="2" fontId="50" fillId="2" borderId="0" xfId="2" applyNumberFormat="1" applyFont="1" applyFill="1" applyBorder="1" applyAlignment="1">
      <alignment horizontal="center" vertical="center"/>
    </xf>
    <xf numFmtId="0" fontId="41" fillId="2" borderId="57" xfId="148" applyFont="1" applyFill="1" applyBorder="1" applyAlignment="1">
      <alignment horizontal="center" vertical="center"/>
    </xf>
    <xf numFmtId="2" fontId="59" fillId="2" borderId="22" xfId="2" applyNumberFormat="1" applyFont="1" applyFill="1" applyBorder="1" applyAlignment="1">
      <alignment horizontal="center" vertical="center" shrinkToFit="1"/>
    </xf>
    <xf numFmtId="0" fontId="57" fillId="2" borderId="68" xfId="2" applyNumberFormat="1" applyFont="1" applyFill="1" applyBorder="1" applyAlignment="1">
      <alignment horizontal="center" vertical="center" shrinkToFit="1"/>
    </xf>
    <xf numFmtId="2" fontId="57" fillId="2" borderId="68" xfId="2" applyNumberFormat="1" applyFont="1" applyFill="1" applyBorder="1" applyAlignment="1">
      <alignment horizontal="center" vertical="center" shrinkToFit="1"/>
    </xf>
    <xf numFmtId="2" fontId="58" fillId="2" borderId="71" xfId="2" applyNumberFormat="1" applyFont="1" applyFill="1" applyBorder="1" applyAlignment="1">
      <alignment horizontal="center" vertical="center" shrinkToFit="1"/>
    </xf>
    <xf numFmtId="0" fontId="38" fillId="2" borderId="0" xfId="2" applyFont="1" applyFill="1" applyBorder="1" applyAlignment="1">
      <alignment horizontal="center" vertical="center"/>
    </xf>
    <xf numFmtId="0" fontId="42" fillId="2" borderId="0" xfId="2" applyFont="1" applyFill="1" applyBorder="1" applyAlignment="1">
      <alignment horizontal="center" vertical="center"/>
    </xf>
    <xf numFmtId="14" fontId="42" fillId="2" borderId="0" xfId="2" applyNumberFormat="1" applyFont="1" applyFill="1" applyBorder="1" applyAlignment="1">
      <alignment horizontal="center" vertical="center"/>
    </xf>
    <xf numFmtId="0" fontId="85" fillId="2" borderId="0" xfId="5" applyFont="1" applyFill="1" applyBorder="1" applyAlignment="1">
      <alignment horizontal="center" vertical="center"/>
    </xf>
    <xf numFmtId="0" fontId="116" fillId="2" borderId="0" xfId="0" applyFont="1" applyFill="1" applyAlignment="1">
      <alignment horizontal="center" vertical="center"/>
    </xf>
    <xf numFmtId="0" fontId="41" fillId="2" borderId="55" xfId="0" applyFont="1" applyFill="1" applyBorder="1" applyAlignment="1">
      <alignment horizontal="center" vertical="center"/>
    </xf>
    <xf numFmtId="0" fontId="113" fillId="2" borderId="55" xfId="0" applyFont="1" applyFill="1" applyBorder="1" applyAlignment="1">
      <alignment horizontal="center" vertical="center"/>
    </xf>
    <xf numFmtId="0" fontId="84" fillId="2" borderId="0" xfId="2" applyFont="1" applyFill="1" applyAlignment="1">
      <alignment horizontal="center" vertical="center"/>
    </xf>
    <xf numFmtId="49" fontId="33" fillId="2" borderId="0" xfId="2" applyNumberFormat="1" applyFont="1" applyFill="1" applyBorder="1" applyAlignment="1">
      <alignment horizontal="center" vertical="center"/>
    </xf>
    <xf numFmtId="49" fontId="41" fillId="2" borderId="0" xfId="2" applyNumberFormat="1" applyFont="1" applyFill="1" applyBorder="1" applyAlignment="1">
      <alignment horizontal="center" vertical="center"/>
    </xf>
    <xf numFmtId="49" fontId="38" fillId="2" borderId="0" xfId="2" applyNumberFormat="1" applyFont="1" applyFill="1" applyBorder="1" applyAlignment="1">
      <alignment horizontal="center" vertical="center"/>
    </xf>
    <xf numFmtId="2" fontId="39" fillId="2" borderId="0" xfId="2" applyNumberFormat="1" applyFont="1" applyFill="1" applyBorder="1" applyAlignment="1">
      <alignment horizontal="center" vertical="center"/>
    </xf>
    <xf numFmtId="169" fontId="48" fillId="2" borderId="0" xfId="2" applyNumberFormat="1" applyFont="1" applyFill="1" applyBorder="1" applyAlignment="1">
      <alignment horizontal="center" vertical="center"/>
    </xf>
    <xf numFmtId="0" fontId="41" fillId="2" borderId="57" xfId="0" applyFont="1" applyFill="1" applyBorder="1" applyAlignment="1">
      <alignment horizontal="center" vertical="center"/>
    </xf>
    <xf numFmtId="0" fontId="113" fillId="2" borderId="57" xfId="0" applyFont="1" applyFill="1" applyBorder="1" applyAlignment="1">
      <alignment horizontal="center" vertical="center"/>
    </xf>
    <xf numFmtId="2" fontId="2" fillId="2" borderId="0" xfId="2" applyNumberFormat="1" applyFont="1" applyFill="1" applyAlignment="1">
      <alignment horizontal="center" vertical="center"/>
    </xf>
    <xf numFmtId="0" fontId="115" fillId="2" borderId="67" xfId="148" applyFont="1" applyFill="1" applyBorder="1" applyAlignment="1">
      <alignment horizontal="left" vertical="center"/>
    </xf>
    <xf numFmtId="0" fontId="39" fillId="2" borderId="0" xfId="2" applyFont="1" applyFill="1" applyBorder="1" applyAlignment="1">
      <alignment horizontal="left" vertical="center"/>
    </xf>
    <xf numFmtId="0" fontId="43" fillId="2" borderId="0" xfId="2" applyFont="1" applyFill="1" applyBorder="1" applyAlignment="1">
      <alignment horizontal="left" vertical="center"/>
    </xf>
    <xf numFmtId="0" fontId="45" fillId="2" borderId="0" xfId="2" applyFont="1" applyFill="1" applyBorder="1" applyAlignment="1">
      <alignment horizontal="left" vertical="center"/>
    </xf>
    <xf numFmtId="0" fontId="39" fillId="2" borderId="61" xfId="2" applyFont="1" applyFill="1" applyBorder="1" applyAlignment="1">
      <alignment horizontal="left" vertical="center" wrapText="1"/>
    </xf>
    <xf numFmtId="0" fontId="57" fillId="2" borderId="66" xfId="2" applyNumberFormat="1" applyFont="1" applyFill="1" applyBorder="1" applyAlignment="1">
      <alignment horizontal="left" vertical="center"/>
    </xf>
    <xf numFmtId="0" fontId="46" fillId="2" borderId="48" xfId="2" applyNumberFormat="1" applyFont="1" applyFill="1" applyBorder="1" applyAlignment="1">
      <alignment horizontal="left" vertical="center"/>
    </xf>
    <xf numFmtId="0" fontId="57" fillId="2" borderId="67" xfId="2" applyNumberFormat="1" applyFont="1" applyFill="1" applyBorder="1" applyAlignment="1">
      <alignment horizontal="left" vertical="center"/>
    </xf>
    <xf numFmtId="0" fontId="56" fillId="2" borderId="0" xfId="2" applyNumberFormat="1" applyFont="1" applyFill="1" applyBorder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53" fillId="2" borderId="56" xfId="2" applyFont="1" applyFill="1" applyBorder="1" applyAlignment="1">
      <alignment horizontal="center" vertical="center" wrapText="1"/>
    </xf>
    <xf numFmtId="0" fontId="53" fillId="2" borderId="55" xfId="2" applyFont="1" applyFill="1" applyBorder="1" applyAlignment="1">
      <alignment horizontal="center" vertical="center" wrapText="1"/>
    </xf>
    <xf numFmtId="0" fontId="31" fillId="2" borderId="0" xfId="2" applyFont="1" applyFill="1" applyBorder="1" applyAlignment="1">
      <alignment horizontal="right"/>
    </xf>
    <xf numFmtId="0" fontId="59" fillId="2" borderId="68" xfId="148" applyFont="1" applyFill="1" applyBorder="1" applyAlignment="1">
      <alignment vertical="top" wrapText="1"/>
    </xf>
    <xf numFmtId="0" fontId="59" fillId="2" borderId="68" xfId="148" applyFont="1" applyFill="1" applyBorder="1" applyAlignment="1">
      <alignment horizontal="center" vertical="center" wrapText="1"/>
    </xf>
    <xf numFmtId="0" fontId="59" fillId="2" borderId="71" xfId="148" applyFont="1" applyFill="1" applyBorder="1" applyAlignment="1">
      <alignment horizontal="center" vertical="center" wrapText="1"/>
    </xf>
    <xf numFmtId="0" fontId="116" fillId="2" borderId="0" xfId="0" applyFont="1" applyFill="1"/>
    <xf numFmtId="169" fontId="34" fillId="2" borderId="26" xfId="166" applyNumberFormat="1" applyFont="1" applyFill="1" applyBorder="1" applyAlignment="1">
      <alignment horizontal="center" vertical="center"/>
    </xf>
    <xf numFmtId="0" fontId="101" fillId="2" borderId="0" xfId="75" applyFont="1" applyFill="1" applyAlignment="1">
      <alignment vertical="center"/>
    </xf>
    <xf numFmtId="2" fontId="34" fillId="2" borderId="0" xfId="7" applyNumberFormat="1" applyFont="1" applyFill="1" applyBorder="1" applyAlignment="1">
      <alignment horizontal="center" vertical="top" shrinkToFit="1"/>
    </xf>
    <xf numFmtId="2" fontId="34" fillId="2" borderId="1" xfId="7" applyNumberFormat="1" applyFont="1" applyFill="1" applyBorder="1" applyAlignment="1">
      <alignment horizontal="center" vertical="top" shrinkToFit="1"/>
    </xf>
    <xf numFmtId="167" fontId="35" fillId="2" borderId="0" xfId="7" applyNumberFormat="1" applyFont="1" applyFill="1" applyAlignment="1">
      <alignment horizontal="center" vertical="top"/>
    </xf>
    <xf numFmtId="0" fontId="91" fillId="2" borderId="0" xfId="271" applyFont="1" applyFill="1"/>
    <xf numFmtId="0" fontId="91" fillId="2" borderId="0" xfId="271" applyNumberFormat="1" applyFont="1" applyFill="1" applyAlignment="1">
      <alignment vertical="top"/>
    </xf>
    <xf numFmtId="0" fontId="34" fillId="2" borderId="0" xfId="6" applyNumberFormat="1" applyFont="1" applyFill="1" applyBorder="1" applyAlignment="1">
      <alignment horizontal="center" vertical="center" shrinkToFit="1"/>
    </xf>
    <xf numFmtId="2" fontId="34" fillId="2" borderId="0" xfId="6" applyNumberFormat="1" applyFont="1" applyFill="1" applyBorder="1" applyAlignment="1">
      <alignment horizontal="center" vertical="center"/>
    </xf>
    <xf numFmtId="2" fontId="34" fillId="2" borderId="0" xfId="6" applyNumberFormat="1" applyFont="1" applyFill="1" applyBorder="1" applyAlignment="1">
      <alignment horizontal="center" vertical="top"/>
    </xf>
    <xf numFmtId="2" fontId="34" fillId="2" borderId="43" xfId="6" applyNumberFormat="1" applyFont="1" applyFill="1" applyBorder="1" applyAlignment="1">
      <alignment horizontal="center" vertical="top" shrinkToFit="1"/>
    </xf>
    <xf numFmtId="0" fontId="34" fillId="2" borderId="0" xfId="6" applyNumberFormat="1" applyFont="1" applyFill="1" applyAlignment="1">
      <alignment vertical="top"/>
    </xf>
    <xf numFmtId="0" fontId="108" fillId="2" borderId="0" xfId="7" applyNumberFormat="1" applyFont="1" applyFill="1" applyAlignment="1">
      <alignment horizontal="center" vertical="center" textRotation="90"/>
    </xf>
    <xf numFmtId="0" fontId="34" fillId="2" borderId="1" xfId="6" applyNumberFormat="1" applyFont="1" applyFill="1" applyBorder="1" applyAlignment="1">
      <alignment horizontal="center" vertical="center" shrinkToFit="1"/>
    </xf>
    <xf numFmtId="2" fontId="34" fillId="2" borderId="1" xfId="6" applyNumberFormat="1" applyFont="1" applyFill="1" applyBorder="1" applyAlignment="1">
      <alignment horizontal="center" vertical="center"/>
    </xf>
    <xf numFmtId="2" fontId="34" fillId="2" borderId="1" xfId="6" applyNumberFormat="1" applyFont="1" applyFill="1" applyBorder="1" applyAlignment="1">
      <alignment horizontal="center" vertical="top"/>
    </xf>
    <xf numFmtId="2" fontId="34" fillId="2" borderId="52" xfId="6" applyNumberFormat="1" applyFont="1" applyFill="1" applyBorder="1" applyAlignment="1">
      <alignment horizontal="center" vertical="top" shrinkToFit="1"/>
    </xf>
    <xf numFmtId="0" fontId="34" fillId="2" borderId="48" xfId="7" applyNumberFormat="1" applyFont="1" applyFill="1" applyBorder="1" applyAlignment="1">
      <alignment vertical="center"/>
    </xf>
    <xf numFmtId="0" fontId="34" fillId="2" borderId="0" xfId="7" applyNumberFormat="1" applyFont="1" applyFill="1" applyBorder="1" applyAlignment="1">
      <alignment vertical="center"/>
    </xf>
    <xf numFmtId="2" fontId="34" fillId="2" borderId="44" xfId="7" applyNumberFormat="1" applyFont="1" applyFill="1" applyBorder="1" applyAlignment="1">
      <alignment horizontal="center" vertical="center" shrinkToFit="1"/>
    </xf>
    <xf numFmtId="0" fontId="34" fillId="2" borderId="55" xfId="7" applyNumberFormat="1" applyFont="1" applyFill="1" applyBorder="1" applyAlignment="1">
      <alignment horizontal="center" vertical="center" shrinkToFit="1"/>
    </xf>
    <xf numFmtId="2" fontId="34" fillId="2" borderId="57" xfId="7" applyNumberFormat="1" applyFont="1" applyFill="1" applyBorder="1" applyAlignment="1">
      <alignment horizontal="center" vertical="center" shrinkToFit="1"/>
    </xf>
    <xf numFmtId="0" fontId="53" fillId="2" borderId="56" xfId="2" applyFont="1" applyFill="1" applyBorder="1" applyAlignment="1">
      <alignment horizontal="center" vertical="center" wrapText="1"/>
    </xf>
    <xf numFmtId="0" fontId="53" fillId="2" borderId="55" xfId="2" applyFont="1" applyFill="1" applyBorder="1" applyAlignment="1">
      <alignment horizontal="center" vertical="center" wrapText="1"/>
    </xf>
    <xf numFmtId="2" fontId="34" fillId="2" borderId="50" xfId="0" applyNumberFormat="1" applyFont="1" applyFill="1" applyBorder="1" applyAlignment="1">
      <alignment horizontal="center" vertical="center" shrinkToFit="1"/>
    </xf>
    <xf numFmtId="2" fontId="34" fillId="2" borderId="52" xfId="0" applyNumberFormat="1" applyFont="1" applyFill="1" applyBorder="1" applyAlignment="1">
      <alignment horizontal="center" vertical="center" shrinkToFit="1"/>
    </xf>
    <xf numFmtId="2" fontId="34" fillId="2" borderId="26" xfId="0" applyNumberFormat="1" applyFont="1" applyFill="1" applyBorder="1" applyAlignment="1">
      <alignment horizontal="center" vertical="center" wrapText="1" shrinkToFit="1"/>
    </xf>
    <xf numFmtId="2" fontId="34" fillId="2" borderId="55" xfId="0" applyNumberFormat="1" applyFont="1" applyFill="1" applyBorder="1" applyAlignment="1">
      <alignment horizontal="center" vertical="center" shrinkToFit="1"/>
    </xf>
    <xf numFmtId="2" fontId="34" fillId="2" borderId="57" xfId="0" applyNumberFormat="1" applyFont="1" applyFill="1" applyBorder="1" applyAlignment="1">
      <alignment horizontal="center" vertical="center" shrinkToFit="1"/>
    </xf>
    <xf numFmtId="2" fontId="34" fillId="2" borderId="26" xfId="0" applyNumberFormat="1" applyFont="1" applyFill="1" applyBorder="1" applyAlignment="1">
      <alignment horizontal="center" vertical="center" shrinkToFit="1"/>
    </xf>
    <xf numFmtId="0" fontId="34" fillId="2" borderId="55" xfId="0" applyNumberFormat="1" applyFont="1" applyFill="1" applyBorder="1" applyAlignment="1">
      <alignment horizontal="center" vertical="center" shrinkToFit="1"/>
    </xf>
    <xf numFmtId="2" fontId="34" fillId="2" borderId="57" xfId="0" applyNumberFormat="1" applyFont="1" applyFill="1" applyBorder="1" applyAlignment="1">
      <alignment horizontal="center" vertical="top" shrinkToFit="1"/>
    </xf>
    <xf numFmtId="2" fontId="34" fillId="2" borderId="55" xfId="0" applyNumberFormat="1" applyFont="1" applyFill="1" applyBorder="1" applyAlignment="1">
      <alignment horizontal="center" vertical="center"/>
    </xf>
    <xf numFmtId="165" fontId="56" fillId="2" borderId="0" xfId="0" applyNumberFormat="1" applyFont="1" applyFill="1" applyAlignment="1">
      <alignment horizontal="left" vertical="center"/>
    </xf>
    <xf numFmtId="0" fontId="56" fillId="2" borderId="0" xfId="0" applyNumberFormat="1" applyFont="1" applyFill="1" applyAlignment="1">
      <alignment vertical="center"/>
    </xf>
    <xf numFmtId="0" fontId="34" fillId="2" borderId="1" xfId="0" applyNumberFormat="1" applyFont="1" applyFill="1" applyBorder="1" applyAlignment="1">
      <alignment horizontal="center" vertical="center" shrinkToFit="1"/>
    </xf>
    <xf numFmtId="2" fontId="35" fillId="2" borderId="1" xfId="0" applyNumberFormat="1" applyFont="1" applyFill="1" applyBorder="1" applyAlignment="1">
      <alignment horizontal="center" vertical="center"/>
    </xf>
    <xf numFmtId="2" fontId="34" fillId="2" borderId="0" xfId="0" applyNumberFormat="1" applyFont="1" applyFill="1" applyBorder="1" applyAlignment="1">
      <alignment horizontal="center" vertical="center"/>
    </xf>
    <xf numFmtId="2" fontId="119" fillId="2" borderId="26" xfId="0" applyNumberFormat="1" applyFont="1" applyFill="1" applyBorder="1" applyAlignment="1">
      <alignment horizontal="left" vertical="center" wrapText="1" shrinkToFit="1"/>
    </xf>
    <xf numFmtId="165" fontId="2" fillId="2" borderId="55" xfId="0" applyNumberFormat="1" applyFont="1" applyFill="1" applyBorder="1" applyAlignment="1">
      <alignment horizontal="center" vertical="top"/>
    </xf>
    <xf numFmtId="167" fontId="56" fillId="2" borderId="0" xfId="0" applyNumberFormat="1" applyFont="1" applyFill="1" applyAlignment="1">
      <alignment vertical="center"/>
    </xf>
    <xf numFmtId="49" fontId="33" fillId="2" borderId="56" xfId="0" applyNumberFormat="1" applyFont="1" applyFill="1" applyBorder="1" applyAlignment="1">
      <alignment horizontal="left" vertical="center"/>
    </xf>
    <xf numFmtId="2" fontId="122" fillId="2" borderId="55" xfId="0" applyNumberFormat="1" applyFont="1" applyFill="1" applyBorder="1" applyAlignment="1">
      <alignment horizontal="left" vertical="center"/>
    </xf>
    <xf numFmtId="0" fontId="111" fillId="2" borderId="0" xfId="148" applyFont="1" applyFill="1" applyAlignment="1">
      <alignment horizontal="left"/>
    </xf>
    <xf numFmtId="0" fontId="118" fillId="2" borderId="0" xfId="148" applyFont="1" applyFill="1" applyAlignment="1">
      <alignment horizontal="left"/>
    </xf>
    <xf numFmtId="2" fontId="34" fillId="2" borderId="60" xfId="7" applyNumberFormat="1" applyFont="1" applyFill="1" applyBorder="1" applyAlignment="1">
      <alignment horizontal="center" vertical="center" shrinkToFit="1"/>
    </xf>
    <xf numFmtId="49" fontId="33" fillId="2" borderId="62" xfId="7" applyNumberFormat="1" applyFont="1" applyFill="1" applyBorder="1" applyAlignment="1">
      <alignment horizontal="left" vertical="center" wrapText="1"/>
    </xf>
    <xf numFmtId="168" fontId="34" fillId="2" borderId="63" xfId="7" applyNumberFormat="1" applyFont="1" applyFill="1" applyBorder="1" applyAlignment="1">
      <alignment horizontal="center" vertical="center" shrinkToFit="1"/>
    </xf>
    <xf numFmtId="168" fontId="34" fillId="2" borderId="63" xfId="7" applyNumberFormat="1" applyFont="1" applyFill="1" applyBorder="1" applyAlignment="1">
      <alignment horizontal="center" vertical="center"/>
    </xf>
    <xf numFmtId="168" fontId="34" fillId="2" borderId="55" xfId="0" applyNumberFormat="1" applyFont="1" applyFill="1" applyBorder="1" applyAlignment="1">
      <alignment horizontal="center" vertical="top"/>
    </xf>
    <xf numFmtId="2" fontId="34" fillId="2" borderId="55" xfId="7" applyNumberFormat="1" applyFont="1" applyFill="1" applyBorder="1" applyAlignment="1">
      <alignment horizontal="left" vertical="center"/>
    </xf>
    <xf numFmtId="2" fontId="34" fillId="2" borderId="42" xfId="6" applyNumberFormat="1" applyFont="1" applyFill="1" applyBorder="1" applyAlignment="1">
      <alignment horizontal="left" vertical="center"/>
    </xf>
    <xf numFmtId="2" fontId="34" fillId="2" borderId="51" xfId="6" applyNumberFormat="1" applyFont="1" applyFill="1" applyBorder="1" applyAlignment="1">
      <alignment horizontal="left" vertical="center"/>
    </xf>
    <xf numFmtId="2" fontId="33" fillId="2" borderId="56" xfId="0" applyNumberFormat="1" applyFont="1" applyFill="1" applyBorder="1" applyAlignment="1">
      <alignment horizontal="left" vertical="center"/>
    </xf>
    <xf numFmtId="2" fontId="33" fillId="2" borderId="55" xfId="7" applyNumberFormat="1" applyFont="1" applyFill="1" applyBorder="1" applyAlignment="1">
      <alignment horizontal="left" vertical="center"/>
    </xf>
    <xf numFmtId="0" fontId="41" fillId="0" borderId="0" xfId="0" applyFont="1" applyFill="1"/>
    <xf numFmtId="0" fontId="34" fillId="0" borderId="0" xfId="0" applyNumberFormat="1" applyFont="1" applyAlignment="1">
      <alignment vertical="top"/>
    </xf>
    <xf numFmtId="0" fontId="34" fillId="2" borderId="0" xfId="76" applyNumberFormat="1" applyFont="1" applyFill="1" applyAlignment="1">
      <alignment horizontal="center" vertical="top"/>
    </xf>
    <xf numFmtId="0" fontId="34" fillId="2" borderId="0" xfId="76" applyNumberFormat="1" applyFont="1" applyFill="1" applyAlignment="1">
      <alignment vertical="top"/>
    </xf>
    <xf numFmtId="0" fontId="35" fillId="2" borderId="0" xfId="0" applyFont="1" applyFill="1" applyAlignment="1">
      <alignment horizontal="center"/>
    </xf>
    <xf numFmtId="0" fontId="91" fillId="2" borderId="0" xfId="0" applyFont="1" applyFill="1"/>
    <xf numFmtId="0" fontId="87" fillId="2" borderId="0" xfId="193" applyNumberFormat="1" applyFont="1" applyFill="1" applyAlignment="1">
      <alignment vertical="top"/>
    </xf>
    <xf numFmtId="0" fontId="59" fillId="2" borderId="68" xfId="148" applyFont="1" applyFill="1" applyBorder="1" applyAlignment="1">
      <alignment horizontal="left" vertical="top" wrapText="1"/>
    </xf>
    <xf numFmtId="0" fontId="41" fillId="2" borderId="0" xfId="0" applyFont="1" applyFill="1"/>
    <xf numFmtId="0" fontId="36" fillId="2" borderId="55" xfId="0" applyFont="1" applyFill="1" applyBorder="1" applyAlignment="1">
      <alignment vertical="center" wrapText="1"/>
    </xf>
    <xf numFmtId="0" fontId="36" fillId="2" borderId="66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vertical="center" wrapText="1"/>
    </xf>
    <xf numFmtId="0" fontId="36" fillId="2" borderId="85" xfId="0" applyFont="1" applyFill="1" applyBorder="1" applyAlignment="1">
      <alignment vertical="center" wrapText="1"/>
    </xf>
    <xf numFmtId="0" fontId="41" fillId="2" borderId="0" xfId="0" applyFont="1" applyFill="1" applyBorder="1" applyAlignment="1">
      <alignment horizontal="center"/>
    </xf>
    <xf numFmtId="0" fontId="41" fillId="2" borderId="0" xfId="0" applyFont="1" applyFill="1" applyAlignment="1">
      <alignment horizontal="center"/>
    </xf>
    <xf numFmtId="0" fontId="36" fillId="2" borderId="66" xfId="0" applyFont="1" applyFill="1" applyBorder="1" applyAlignment="1">
      <alignment vertical="center"/>
    </xf>
    <xf numFmtId="165" fontId="33" fillId="2" borderId="56" xfId="279" applyNumberFormat="1" applyFont="1" applyFill="1" applyBorder="1" applyAlignment="1">
      <alignment horizontal="left" vertical="center" wrapText="1"/>
    </xf>
    <xf numFmtId="165" fontId="33" fillId="2" borderId="55" xfId="279" applyNumberFormat="1" applyFont="1" applyFill="1" applyBorder="1" applyAlignment="1">
      <alignment horizontal="center" vertical="center" wrapText="1"/>
    </xf>
    <xf numFmtId="165" fontId="34" fillId="2" borderId="55" xfId="0" applyNumberFormat="1" applyFont="1" applyFill="1" applyBorder="1" applyAlignment="1">
      <alignment horizontal="center" vertical="center" wrapText="1"/>
    </xf>
    <xf numFmtId="2" fontId="34" fillId="2" borderId="57" xfId="0" applyNumberFormat="1" applyFont="1" applyFill="1" applyBorder="1" applyAlignment="1">
      <alignment horizontal="center" vertical="center" wrapText="1" shrinkToFit="1"/>
    </xf>
    <xf numFmtId="165" fontId="33" fillId="2" borderId="109" xfId="276" applyNumberFormat="1" applyFont="1" applyFill="1" applyBorder="1" applyAlignment="1">
      <alignment horizontal="left"/>
    </xf>
    <xf numFmtId="165" fontId="33" fillId="2" borderId="11" xfId="276" applyNumberFormat="1" applyFont="1" applyFill="1" applyBorder="1" applyAlignment="1">
      <alignment horizontal="center"/>
    </xf>
    <xf numFmtId="165" fontId="34" fillId="2" borderId="11" xfId="0" applyNumberFormat="1" applyFont="1" applyFill="1" applyBorder="1" applyAlignment="1">
      <alignment horizontal="center" vertical="center" wrapText="1"/>
    </xf>
    <xf numFmtId="165" fontId="33" fillId="2" borderId="110" xfId="276" applyNumberFormat="1" applyFont="1" applyFill="1" applyBorder="1" applyAlignment="1">
      <alignment horizontal="center" vertical="center"/>
    </xf>
    <xf numFmtId="2" fontId="34" fillId="2" borderId="111" xfId="0" applyNumberFormat="1" applyFont="1" applyFill="1" applyBorder="1" applyAlignment="1">
      <alignment horizontal="center" vertical="center" wrapText="1" shrinkToFit="1"/>
    </xf>
    <xf numFmtId="165" fontId="33" fillId="2" borderId="112" xfId="276" applyNumberFormat="1" applyFont="1" applyFill="1" applyBorder="1" applyAlignment="1">
      <alignment horizontal="left"/>
    </xf>
    <xf numFmtId="165" fontId="33" fillId="2" borderId="14" xfId="276" applyNumberFormat="1" applyFont="1" applyFill="1" applyBorder="1" applyAlignment="1">
      <alignment horizontal="center"/>
    </xf>
    <xf numFmtId="165" fontId="34" fillId="2" borderId="14" xfId="0" applyNumberFormat="1" applyFont="1" applyFill="1" applyBorder="1" applyAlignment="1">
      <alignment horizontal="center" vertical="center" wrapText="1"/>
    </xf>
    <xf numFmtId="165" fontId="33" fillId="2" borderId="107" xfId="276" applyNumberFormat="1" applyFont="1" applyFill="1" applyBorder="1" applyAlignment="1">
      <alignment horizontal="center" vertical="center"/>
    </xf>
    <xf numFmtId="2" fontId="34" fillId="2" borderId="92" xfId="0" applyNumberFormat="1" applyFont="1" applyFill="1" applyBorder="1" applyAlignment="1">
      <alignment horizontal="center" vertical="center" wrapText="1" shrinkToFit="1"/>
    </xf>
    <xf numFmtId="165" fontId="33" fillId="2" borderId="113" xfId="276" applyNumberFormat="1" applyFont="1" applyFill="1" applyBorder="1" applyAlignment="1">
      <alignment horizontal="left"/>
    </xf>
    <xf numFmtId="165" fontId="33" fillId="2" borderId="65" xfId="276" applyNumberFormat="1" applyFont="1" applyFill="1" applyBorder="1" applyAlignment="1">
      <alignment horizontal="center"/>
    </xf>
    <xf numFmtId="165" fontId="34" fillId="2" borderId="65" xfId="0" applyNumberFormat="1" applyFont="1" applyFill="1" applyBorder="1" applyAlignment="1">
      <alignment horizontal="center" vertical="center" wrapText="1"/>
    </xf>
    <xf numFmtId="165" fontId="33" fillId="2" borderId="114" xfId="276" applyNumberFormat="1" applyFont="1" applyFill="1" applyBorder="1" applyAlignment="1">
      <alignment horizontal="center" vertical="center"/>
    </xf>
    <xf numFmtId="2" fontId="34" fillId="2" borderId="52" xfId="0" applyNumberFormat="1" applyFont="1" applyFill="1" applyBorder="1" applyAlignment="1">
      <alignment horizontal="center" vertical="center" wrapText="1" shrinkToFit="1"/>
    </xf>
    <xf numFmtId="2" fontId="109" fillId="2" borderId="26" xfId="0" applyNumberFormat="1" applyFont="1" applyFill="1" applyBorder="1" applyAlignment="1">
      <alignment horizontal="center" vertical="center" shrinkToFit="1"/>
    </xf>
    <xf numFmtId="2" fontId="33" fillId="2" borderId="26" xfId="76" applyNumberFormat="1" applyFont="1" applyFill="1" applyBorder="1" applyAlignment="1">
      <alignment horizontal="center" vertical="center" wrapText="1" shrinkToFit="1"/>
    </xf>
    <xf numFmtId="49" fontId="33" fillId="2" borderId="112" xfId="0" applyNumberFormat="1" applyFont="1" applyFill="1" applyBorder="1" applyAlignment="1">
      <alignment horizontal="left" vertical="center" wrapText="1"/>
    </xf>
    <xf numFmtId="49" fontId="33" fillId="2" borderId="110" xfId="0" applyNumberFormat="1" applyFont="1" applyFill="1" applyBorder="1" applyAlignment="1">
      <alignment horizontal="left" vertical="top" wrapText="1"/>
    </xf>
    <xf numFmtId="0" fontId="34" fillId="2" borderId="11" xfId="0" applyNumberFormat="1" applyFont="1" applyFill="1" applyBorder="1" applyAlignment="1">
      <alignment horizontal="center" vertical="center" shrinkToFit="1"/>
    </xf>
    <xf numFmtId="2" fontId="34" fillId="2" borderId="11" xfId="0" applyNumberFormat="1" applyFont="1" applyFill="1" applyBorder="1" applyAlignment="1">
      <alignment horizontal="center" vertical="center" shrinkToFit="1"/>
    </xf>
    <xf numFmtId="2" fontId="34" fillId="2" borderId="11" xfId="0" applyNumberFormat="1" applyFont="1" applyFill="1" applyBorder="1" applyAlignment="1">
      <alignment horizontal="center" vertical="center"/>
    </xf>
    <xf numFmtId="165" fontId="34" fillId="2" borderId="11" xfId="0" applyNumberFormat="1" applyFont="1" applyFill="1" applyBorder="1" applyAlignment="1">
      <alignment horizontal="center" vertical="center" shrinkToFit="1"/>
    </xf>
    <xf numFmtId="2" fontId="34" fillId="2" borderId="116" xfId="0" applyNumberFormat="1" applyFont="1" applyFill="1" applyBorder="1" applyAlignment="1">
      <alignment horizontal="center" vertical="center" shrinkToFit="1"/>
    </xf>
    <xf numFmtId="170" fontId="34" fillId="2" borderId="88" xfId="0" applyNumberFormat="1" applyFont="1" applyFill="1" applyBorder="1" applyAlignment="1">
      <alignment horizontal="center" vertical="center" shrinkToFit="1"/>
    </xf>
    <xf numFmtId="165" fontId="33" fillId="2" borderId="89" xfId="279" applyNumberFormat="1" applyFont="1" applyFill="1" applyBorder="1" applyAlignment="1">
      <alignment horizontal="left" vertical="center" wrapText="1"/>
    </xf>
    <xf numFmtId="168" fontId="34" fillId="2" borderId="95" xfId="0" applyNumberFormat="1" applyFont="1" applyFill="1" applyBorder="1" applyAlignment="1">
      <alignment horizontal="center" vertical="center" shrinkToFit="1"/>
    </xf>
    <xf numFmtId="165" fontId="33" fillId="2" borderId="113" xfId="279" applyNumberFormat="1" applyFont="1" applyFill="1" applyBorder="1" applyAlignment="1">
      <alignment horizontal="left" vertical="center" wrapText="1"/>
    </xf>
    <xf numFmtId="165" fontId="33" fillId="2" borderId="65" xfId="279" applyNumberFormat="1" applyFont="1" applyFill="1" applyBorder="1" applyAlignment="1">
      <alignment horizontal="center" vertical="center" wrapText="1"/>
    </xf>
    <xf numFmtId="168" fontId="33" fillId="2" borderId="88" xfId="279" applyNumberFormat="1" applyFont="1" applyFill="1" applyBorder="1" applyAlignment="1">
      <alignment horizontal="center" vertical="center" wrapText="1"/>
    </xf>
    <xf numFmtId="168" fontId="33" fillId="2" borderId="1" xfId="76" applyNumberFormat="1" applyFont="1" applyFill="1" applyBorder="1" applyAlignment="1">
      <alignment horizontal="center" vertical="center" wrapText="1"/>
    </xf>
    <xf numFmtId="165" fontId="33" fillId="2" borderId="117" xfId="279" applyNumberFormat="1" applyFont="1" applyFill="1" applyBorder="1" applyAlignment="1">
      <alignment horizontal="center" vertical="center" wrapText="1"/>
    </xf>
    <xf numFmtId="2" fontId="34" fillId="2" borderId="94" xfId="76" applyNumberFormat="1" applyFont="1" applyFill="1" applyBorder="1" applyAlignment="1">
      <alignment horizontal="center" vertical="center" shrinkToFit="1"/>
    </xf>
    <xf numFmtId="2" fontId="34" fillId="2" borderId="26" xfId="193" applyNumberFormat="1" applyFont="1" applyFill="1" applyBorder="1" applyAlignment="1">
      <alignment horizontal="center" vertical="center" shrinkToFit="1"/>
    </xf>
    <xf numFmtId="0" fontId="59" fillId="2" borderId="69" xfId="148" applyFont="1" applyFill="1" applyBorder="1" applyAlignment="1">
      <alignment horizontal="center" vertical="center" wrapText="1"/>
    </xf>
    <xf numFmtId="0" fontId="36" fillId="2" borderId="57" xfId="148" applyFont="1" applyFill="1" applyBorder="1" applyAlignment="1">
      <alignment horizontal="center" vertical="center"/>
    </xf>
    <xf numFmtId="2" fontId="34" fillId="2" borderId="115" xfId="7" applyNumberFormat="1" applyFont="1" applyFill="1" applyBorder="1" applyAlignment="1">
      <alignment vertical="top"/>
    </xf>
    <xf numFmtId="2" fontId="34" fillId="2" borderId="115" xfId="7" applyNumberFormat="1" applyFont="1" applyFill="1" applyBorder="1" applyAlignment="1">
      <alignment horizontal="center" vertical="top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0" fontId="84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14" fillId="3" borderId="24" xfId="2" applyFont="1" applyFill="1" applyBorder="1" applyAlignment="1">
      <alignment horizontal="right" vertical="center"/>
    </xf>
    <xf numFmtId="0" fontId="14" fillId="3" borderId="25" xfId="2" applyFont="1" applyFill="1" applyBorder="1" applyAlignment="1">
      <alignment horizontal="right" vertical="center"/>
    </xf>
    <xf numFmtId="0" fontId="12" fillId="0" borderId="0" xfId="2" applyFont="1" applyFill="1" applyAlignment="1">
      <alignment horizontal="right"/>
    </xf>
    <xf numFmtId="0" fontId="10" fillId="0" borderId="0" xfId="2" applyFont="1" applyFill="1" applyAlignment="1">
      <alignment horizontal="center"/>
    </xf>
    <xf numFmtId="0" fontId="18" fillId="0" borderId="0" xfId="2" applyFont="1" applyFill="1" applyAlignment="1">
      <alignment horizontal="right" vertical="center" wrapText="1"/>
    </xf>
    <xf numFmtId="0" fontId="106" fillId="0" borderId="0" xfId="2" applyFont="1" applyFill="1" applyAlignment="1">
      <alignment horizontal="center" vertical="top" wrapText="1"/>
    </xf>
    <xf numFmtId="0" fontId="22" fillId="0" borderId="3" xfId="248" applyFont="1" applyBorder="1" applyAlignment="1">
      <alignment horizontal="center" vertical="center" wrapText="1"/>
    </xf>
    <xf numFmtId="0" fontId="22" fillId="0" borderId="6" xfId="248" applyFont="1" applyBorder="1" applyAlignment="1">
      <alignment horizontal="center" vertical="center"/>
    </xf>
    <xf numFmtId="0" fontId="23" fillId="0" borderId="4" xfId="248" applyFont="1" applyBorder="1" applyAlignment="1">
      <alignment horizontal="center" vertical="center" wrapText="1"/>
    </xf>
    <xf numFmtId="0" fontId="23" fillId="0" borderId="7" xfId="248" applyFont="1" applyBorder="1" applyAlignment="1">
      <alignment horizontal="center" vertical="center"/>
    </xf>
    <xf numFmtId="0" fontId="10" fillId="0" borderId="4" xfId="248" applyFont="1" applyBorder="1" applyAlignment="1">
      <alignment horizontal="center" vertical="center" wrapText="1"/>
    </xf>
    <xf numFmtId="0" fontId="10" fillId="0" borderId="7" xfId="248" applyFont="1" applyBorder="1" applyAlignment="1">
      <alignment horizontal="center" vertical="center"/>
    </xf>
    <xf numFmtId="0" fontId="14" fillId="3" borderId="4" xfId="248" applyFont="1" applyFill="1" applyBorder="1" applyAlignment="1">
      <alignment horizontal="center"/>
    </xf>
    <xf numFmtId="0" fontId="14" fillId="3" borderId="5" xfId="248" applyFont="1" applyFill="1" applyBorder="1" applyAlignment="1">
      <alignment horizontal="center"/>
    </xf>
    <xf numFmtId="2" fontId="34" fillId="2" borderId="44" xfId="7" applyNumberFormat="1" applyFont="1" applyFill="1" applyBorder="1" applyAlignment="1">
      <alignment horizontal="center" vertical="center" shrinkToFit="1"/>
    </xf>
    <xf numFmtId="2" fontId="34" fillId="2" borderId="50" xfId="7" applyNumberFormat="1" applyFont="1" applyFill="1" applyBorder="1" applyAlignment="1">
      <alignment horizontal="center" vertical="center" shrinkToFit="1"/>
    </xf>
    <xf numFmtId="0" fontId="34" fillId="2" borderId="84" xfId="7" applyNumberFormat="1" applyFont="1" applyFill="1" applyBorder="1" applyAlignment="1">
      <alignment horizontal="center" vertical="top"/>
    </xf>
    <xf numFmtId="0" fontId="34" fillId="2" borderId="85" xfId="7" applyNumberFormat="1" applyFont="1" applyFill="1" applyBorder="1" applyAlignment="1">
      <alignment horizontal="center" vertical="top"/>
    </xf>
    <xf numFmtId="49" fontId="34" fillId="2" borderId="61" xfId="7" applyNumberFormat="1" applyFont="1" applyFill="1" applyBorder="1" applyAlignment="1">
      <alignment vertical="center" wrapText="1"/>
    </xf>
    <xf numFmtId="49" fontId="34" fillId="2" borderId="49" xfId="7" applyNumberFormat="1" applyFont="1" applyFill="1" applyBorder="1" applyAlignment="1">
      <alignment vertical="center" wrapText="1"/>
    </xf>
    <xf numFmtId="0" fontId="34" fillId="2" borderId="44" xfId="7" applyNumberFormat="1" applyFont="1" applyFill="1" applyBorder="1" applyAlignment="1">
      <alignment horizontal="center" vertical="center"/>
    </xf>
    <xf numFmtId="0" fontId="34" fillId="2" borderId="50" xfId="7" applyNumberFormat="1" applyFont="1" applyFill="1" applyBorder="1" applyAlignment="1">
      <alignment horizontal="center" vertical="center"/>
    </xf>
    <xf numFmtId="165" fontId="94" fillId="2" borderId="51" xfId="7" applyNumberFormat="1" applyFont="1" applyFill="1" applyBorder="1" applyAlignment="1">
      <alignment horizontal="center" vertical="center" shrinkToFit="1"/>
    </xf>
    <xf numFmtId="165" fontId="94" fillId="2" borderId="1" xfId="7" applyNumberFormat="1" applyFont="1" applyFill="1" applyBorder="1" applyAlignment="1">
      <alignment horizontal="center" vertical="center" shrinkToFit="1"/>
    </xf>
    <xf numFmtId="165" fontId="94" fillId="2" borderId="52" xfId="7" applyNumberFormat="1" applyFont="1" applyFill="1" applyBorder="1" applyAlignment="1">
      <alignment horizontal="center" vertical="center" shrinkToFit="1"/>
    </xf>
    <xf numFmtId="165" fontId="34" fillId="2" borderId="26" xfId="7" applyNumberFormat="1" applyFont="1" applyFill="1" applyBorder="1" applyAlignment="1">
      <alignment horizontal="center" vertical="center" shrinkToFit="1"/>
    </xf>
    <xf numFmtId="0" fontId="34" fillId="2" borderId="61" xfId="7" applyNumberFormat="1" applyFont="1" applyFill="1" applyBorder="1" applyAlignment="1">
      <alignment horizontal="left" vertical="center" shrinkToFit="1"/>
    </xf>
    <xf numFmtId="0" fontId="34" fillId="2" borderId="49" xfId="7" applyNumberFormat="1" applyFont="1" applyFill="1" applyBorder="1" applyAlignment="1">
      <alignment horizontal="left" vertical="center" shrinkToFit="1"/>
    </xf>
    <xf numFmtId="49" fontId="34" fillId="2" borderId="44" xfId="6" applyNumberFormat="1" applyFont="1" applyFill="1" applyBorder="1" applyAlignment="1">
      <alignment horizontal="center" vertical="center" wrapText="1"/>
    </xf>
    <xf numFmtId="49" fontId="34" fillId="2" borderId="50" xfId="6" applyNumberFormat="1" applyFont="1" applyFill="1" applyBorder="1" applyAlignment="1">
      <alignment horizontal="center" vertical="center" wrapText="1"/>
    </xf>
    <xf numFmtId="49" fontId="34" fillId="2" borderId="44" xfId="6" applyNumberFormat="1" applyFont="1" applyFill="1" applyBorder="1" applyAlignment="1">
      <alignment vertical="center" wrapText="1"/>
    </xf>
    <xf numFmtId="49" fontId="34" fillId="2" borderId="50" xfId="6" applyNumberFormat="1" applyFont="1" applyFill="1" applyBorder="1" applyAlignment="1">
      <alignment vertical="center" wrapText="1"/>
    </xf>
    <xf numFmtId="0" fontId="34" fillId="2" borderId="44" xfId="6" applyNumberFormat="1" applyFont="1" applyFill="1" applyBorder="1" applyAlignment="1">
      <alignment horizontal="center" vertical="center"/>
    </xf>
    <xf numFmtId="0" fontId="34" fillId="2" borderId="50" xfId="6" applyNumberFormat="1" applyFont="1" applyFill="1" applyBorder="1" applyAlignment="1">
      <alignment horizontal="center" vertical="center"/>
    </xf>
    <xf numFmtId="2" fontId="34" fillId="2" borderId="44" xfId="6" applyNumberFormat="1" applyFont="1" applyFill="1" applyBorder="1" applyAlignment="1">
      <alignment horizontal="center" vertical="center" shrinkToFit="1"/>
    </xf>
    <xf numFmtId="2" fontId="34" fillId="2" borderId="50" xfId="6" applyNumberFormat="1" applyFont="1" applyFill="1" applyBorder="1" applyAlignment="1">
      <alignment horizontal="center" vertical="center" shrinkToFit="1"/>
    </xf>
    <xf numFmtId="165" fontId="34" fillId="2" borderId="56" xfId="6" applyNumberFormat="1" applyFont="1" applyFill="1" applyBorder="1" applyAlignment="1">
      <alignment horizontal="center" vertical="center" shrinkToFit="1"/>
    </xf>
    <xf numFmtId="165" fontId="34" fillId="2" borderId="55" xfId="6" applyNumberFormat="1" applyFont="1" applyFill="1" applyBorder="1" applyAlignment="1">
      <alignment horizontal="center" vertical="center" shrinkToFit="1"/>
    </xf>
    <xf numFmtId="165" fontId="34" fillId="2" borderId="57" xfId="6" applyNumberFormat="1" applyFont="1" applyFill="1" applyBorder="1" applyAlignment="1">
      <alignment horizontal="center" vertical="center" shrinkToFit="1"/>
    </xf>
    <xf numFmtId="49" fontId="34" fillId="2" borderId="44" xfId="7" applyNumberFormat="1" applyFont="1" applyFill="1" applyBorder="1" applyAlignment="1">
      <alignment horizontal="center" vertical="center" wrapText="1"/>
    </xf>
    <xf numFmtId="49" fontId="34" fillId="2" borderId="50" xfId="7" applyNumberFormat="1" applyFont="1" applyFill="1" applyBorder="1" applyAlignment="1">
      <alignment horizontal="center" vertical="center" wrapText="1"/>
    </xf>
    <xf numFmtId="49" fontId="34" fillId="2" borderId="44" xfId="7" applyNumberFormat="1" applyFont="1" applyFill="1" applyBorder="1" applyAlignment="1">
      <alignment vertical="center" wrapText="1"/>
    </xf>
    <xf numFmtId="49" fontId="34" fillId="2" borderId="50" xfId="7" applyNumberFormat="1" applyFont="1" applyFill="1" applyBorder="1" applyAlignment="1">
      <alignment vertical="center" wrapText="1"/>
    </xf>
    <xf numFmtId="168" fontId="34" fillId="2" borderId="44" xfId="79" applyNumberFormat="1" applyFont="1" applyFill="1" applyBorder="1" applyAlignment="1">
      <alignment horizontal="center" vertical="center"/>
    </xf>
    <xf numFmtId="168" fontId="34" fillId="2" borderId="50" xfId="79" applyNumberFormat="1" applyFont="1" applyFill="1" applyBorder="1" applyAlignment="1">
      <alignment horizontal="center" vertical="center"/>
    </xf>
    <xf numFmtId="165" fontId="34" fillId="2" borderId="59" xfId="7" applyNumberFormat="1" applyFont="1" applyFill="1" applyBorder="1" applyAlignment="1">
      <alignment horizontal="center" vertical="center" shrinkToFit="1"/>
    </xf>
    <xf numFmtId="165" fontId="34" fillId="2" borderId="82" xfId="7" applyNumberFormat="1" applyFont="1" applyFill="1" applyBorder="1" applyAlignment="1">
      <alignment horizontal="center" vertical="center" shrinkToFit="1"/>
    </xf>
    <xf numFmtId="165" fontId="34" fillId="2" borderId="60" xfId="7" applyNumberFormat="1" applyFont="1" applyFill="1" applyBorder="1" applyAlignment="1">
      <alignment horizontal="center" vertical="center" shrinkToFit="1"/>
    </xf>
    <xf numFmtId="165" fontId="34" fillId="2" borderId="56" xfId="7" applyNumberFormat="1" applyFont="1" applyFill="1" applyBorder="1" applyAlignment="1">
      <alignment horizontal="center" vertical="center" shrinkToFit="1"/>
    </xf>
    <xf numFmtId="165" fontId="34" fillId="2" borderId="55" xfId="7" applyNumberFormat="1" applyFont="1" applyFill="1" applyBorder="1" applyAlignment="1">
      <alignment horizontal="center" vertical="center" shrinkToFit="1"/>
    </xf>
    <xf numFmtId="165" fontId="34" fillId="2" borderId="57" xfId="7" applyNumberFormat="1" applyFont="1" applyFill="1" applyBorder="1" applyAlignment="1">
      <alignment horizontal="center" vertical="center" shrinkToFit="1"/>
    </xf>
    <xf numFmtId="2" fontId="94" fillId="2" borderId="84" xfId="6" applyNumberFormat="1" applyFont="1" applyFill="1" applyBorder="1" applyAlignment="1">
      <alignment horizontal="center" vertical="center" shrinkToFit="1"/>
    </xf>
    <xf numFmtId="2" fontId="94" fillId="2" borderId="85" xfId="6" applyNumberFormat="1" applyFont="1" applyFill="1" applyBorder="1" applyAlignment="1">
      <alignment horizontal="center" vertical="center" shrinkToFit="1"/>
    </xf>
    <xf numFmtId="0" fontId="87" fillId="2" borderId="41" xfId="249" applyNumberFormat="1" applyFont="1" applyFill="1" applyBorder="1" applyAlignment="1">
      <alignment horizontal="center" vertical="center"/>
    </xf>
    <xf numFmtId="0" fontId="87" fillId="2" borderId="50" xfId="249" applyNumberFormat="1" applyFont="1" applyFill="1" applyBorder="1" applyAlignment="1">
      <alignment horizontal="center" vertical="center"/>
    </xf>
    <xf numFmtId="0" fontId="34" fillId="2" borderId="0" xfId="6" applyNumberFormat="1" applyFont="1" applyFill="1" applyBorder="1" applyAlignment="1">
      <alignment horizontal="center" vertical="center"/>
    </xf>
    <xf numFmtId="165" fontId="34" fillId="2" borderId="51" xfId="6" applyNumberFormat="1" applyFont="1" applyFill="1" applyBorder="1" applyAlignment="1">
      <alignment horizontal="center" vertical="center" shrinkToFit="1"/>
    </xf>
    <xf numFmtId="165" fontId="34" fillId="2" borderId="1" xfId="6" applyNumberFormat="1" applyFont="1" applyFill="1" applyBorder="1" applyAlignment="1">
      <alignment horizontal="center" vertical="center" shrinkToFit="1"/>
    </xf>
    <xf numFmtId="165" fontId="34" fillId="2" borderId="52" xfId="6" applyNumberFormat="1" applyFont="1" applyFill="1" applyBorder="1" applyAlignment="1">
      <alignment horizontal="center" vertical="center" shrinkToFit="1"/>
    </xf>
    <xf numFmtId="2" fontId="94" fillId="2" borderId="84" xfId="7" applyNumberFormat="1" applyFont="1" applyFill="1" applyBorder="1" applyAlignment="1">
      <alignment horizontal="center" vertical="center" shrinkToFit="1"/>
    </xf>
    <xf numFmtId="2" fontId="94" fillId="2" borderId="22" xfId="7" applyNumberFormat="1" applyFont="1" applyFill="1" applyBorder="1" applyAlignment="1">
      <alignment horizontal="center" vertical="center" shrinkToFit="1"/>
    </xf>
    <xf numFmtId="49" fontId="87" fillId="2" borderId="44" xfId="281" applyNumberFormat="1" applyFont="1" applyFill="1" applyBorder="1" applyAlignment="1">
      <alignment vertical="center" wrapText="1"/>
    </xf>
    <xf numFmtId="49" fontId="87" fillId="2" borderId="50" xfId="281" applyNumberFormat="1" applyFont="1" applyFill="1" applyBorder="1" applyAlignment="1">
      <alignment vertical="center" wrapText="1"/>
    </xf>
    <xf numFmtId="0" fontId="34" fillId="2" borderId="61" xfId="79" applyNumberFormat="1" applyFont="1" applyFill="1" applyBorder="1" applyAlignment="1">
      <alignment horizontal="left" vertical="center" shrinkToFit="1"/>
    </xf>
    <xf numFmtId="0" fontId="34" fillId="2" borderId="40" xfId="79" applyNumberFormat="1" applyFont="1" applyFill="1" applyBorder="1" applyAlignment="1">
      <alignment horizontal="left" vertical="center" shrinkToFit="1"/>
    </xf>
    <xf numFmtId="49" fontId="34" fillId="2" borderId="41" xfId="7" applyNumberFormat="1" applyFont="1" applyFill="1" applyBorder="1" applyAlignment="1">
      <alignment horizontal="center" vertical="center" wrapText="1"/>
    </xf>
    <xf numFmtId="49" fontId="34" fillId="2" borderId="41" xfId="7" applyNumberFormat="1" applyFont="1" applyFill="1" applyBorder="1" applyAlignment="1">
      <alignment vertical="center" wrapText="1"/>
    </xf>
    <xf numFmtId="168" fontId="34" fillId="2" borderId="26" xfId="7" applyNumberFormat="1" applyFont="1" applyFill="1" applyBorder="1" applyAlignment="1">
      <alignment horizontal="center" vertical="center" shrinkToFit="1"/>
    </xf>
    <xf numFmtId="0" fontId="34" fillId="2" borderId="56" xfId="7" applyNumberFormat="1" applyFont="1" applyFill="1" applyBorder="1" applyAlignment="1">
      <alignment horizontal="center" vertical="center" shrinkToFit="1"/>
    </xf>
    <xf numFmtId="0" fontId="34" fillId="2" borderId="55" xfId="7" applyNumberFormat="1" applyFont="1" applyFill="1" applyBorder="1" applyAlignment="1">
      <alignment horizontal="center" vertical="center" shrinkToFit="1"/>
    </xf>
    <xf numFmtId="0" fontId="34" fillId="2" borderId="57" xfId="7" applyNumberFormat="1" applyFont="1" applyFill="1" applyBorder="1" applyAlignment="1">
      <alignment horizontal="center" vertical="center" shrinkToFit="1"/>
    </xf>
    <xf numFmtId="2" fontId="109" fillId="2" borderId="26" xfId="7" applyNumberFormat="1" applyFont="1" applyFill="1" applyBorder="1" applyAlignment="1">
      <alignment horizontal="center" vertical="center" shrinkToFit="1"/>
    </xf>
    <xf numFmtId="2" fontId="34" fillId="2" borderId="56" xfId="7" applyNumberFormat="1" applyFont="1" applyFill="1" applyBorder="1" applyAlignment="1">
      <alignment horizontal="center" vertical="center" shrinkToFit="1"/>
    </xf>
    <xf numFmtId="2" fontId="34" fillId="2" borderId="55" xfId="7" applyNumberFormat="1" applyFont="1" applyFill="1" applyBorder="1" applyAlignment="1">
      <alignment horizontal="center" vertical="center" shrinkToFit="1"/>
    </xf>
    <xf numFmtId="2" fontId="34" fillId="2" borderId="57" xfId="7" applyNumberFormat="1" applyFont="1" applyFill="1" applyBorder="1" applyAlignment="1">
      <alignment horizontal="center" vertical="center" shrinkToFit="1"/>
    </xf>
    <xf numFmtId="49" fontId="34" fillId="2" borderId="44" xfId="79" applyNumberFormat="1" applyFont="1" applyFill="1" applyBorder="1" applyAlignment="1">
      <alignment vertical="center" wrapText="1"/>
    </xf>
    <xf numFmtId="49" fontId="34" fillId="2" borderId="50" xfId="79" applyNumberFormat="1" applyFont="1" applyFill="1" applyBorder="1" applyAlignment="1">
      <alignment vertical="center" wrapText="1"/>
    </xf>
    <xf numFmtId="168" fontId="34" fillId="2" borderId="44" xfId="7" applyNumberFormat="1" applyFont="1" applyFill="1" applyBorder="1" applyAlignment="1">
      <alignment horizontal="center" vertical="center" shrinkToFit="1"/>
    </xf>
    <xf numFmtId="168" fontId="34" fillId="2" borderId="50" xfId="7" applyNumberFormat="1" applyFont="1" applyFill="1" applyBorder="1" applyAlignment="1">
      <alignment horizontal="center" vertical="center" shrinkToFit="1"/>
    </xf>
    <xf numFmtId="2" fontId="34" fillId="2" borderId="84" xfId="7" applyNumberFormat="1" applyFont="1" applyFill="1" applyBorder="1" applyAlignment="1">
      <alignment horizontal="center" vertical="center" shrinkToFit="1"/>
    </xf>
    <xf numFmtId="2" fontId="34" fillId="2" borderId="85" xfId="7" applyNumberFormat="1" applyFont="1" applyFill="1" applyBorder="1" applyAlignment="1">
      <alignment horizontal="center" vertical="center" shrinkToFit="1"/>
    </xf>
    <xf numFmtId="49" fontId="34" fillId="2" borderId="44" xfId="260" applyNumberFormat="1" applyFont="1" applyFill="1" applyBorder="1" applyAlignment="1">
      <alignment vertical="center" wrapText="1"/>
    </xf>
    <xf numFmtId="49" fontId="34" fillId="2" borderId="50" xfId="260" applyNumberFormat="1" applyFont="1" applyFill="1" applyBorder="1" applyAlignment="1">
      <alignment vertical="center" wrapText="1"/>
    </xf>
    <xf numFmtId="0" fontId="34" fillId="2" borderId="44" xfId="260" applyNumberFormat="1" applyFont="1" applyFill="1" applyBorder="1" applyAlignment="1">
      <alignment horizontal="center" vertical="center"/>
    </xf>
    <xf numFmtId="0" fontId="34" fillId="2" borderId="50" xfId="260" applyNumberFormat="1" applyFont="1" applyFill="1" applyBorder="1" applyAlignment="1">
      <alignment horizontal="center" vertical="center"/>
    </xf>
    <xf numFmtId="165" fontId="34" fillId="2" borderId="51" xfId="7" applyNumberFormat="1" applyFont="1" applyFill="1" applyBorder="1" applyAlignment="1">
      <alignment horizontal="center" vertical="center" shrinkToFit="1"/>
    </xf>
    <xf numFmtId="165" fontId="34" fillId="2" borderId="1" xfId="7" applyNumberFormat="1" applyFont="1" applyFill="1" applyBorder="1" applyAlignment="1">
      <alignment horizontal="center" vertical="center" shrinkToFit="1"/>
    </xf>
    <xf numFmtId="165" fontId="34" fillId="2" borderId="52" xfId="7" applyNumberFormat="1" applyFont="1" applyFill="1" applyBorder="1" applyAlignment="1">
      <alignment horizontal="center" vertical="center" shrinkToFit="1"/>
    </xf>
    <xf numFmtId="49" fontId="34" fillId="2" borderId="44" xfId="7" applyNumberFormat="1" applyFont="1" applyFill="1" applyBorder="1" applyAlignment="1">
      <alignment vertical="top" wrapText="1"/>
    </xf>
    <xf numFmtId="49" fontId="34" fillId="2" borderId="50" xfId="7" applyNumberFormat="1" applyFont="1" applyFill="1" applyBorder="1" applyAlignment="1">
      <alignment vertical="top" wrapText="1"/>
    </xf>
    <xf numFmtId="0" fontId="34" fillId="2" borderId="44" xfId="252" applyNumberFormat="1" applyFont="1" applyFill="1" applyBorder="1" applyAlignment="1">
      <alignment horizontal="center" vertical="center"/>
    </xf>
    <xf numFmtId="0" fontId="34" fillId="2" borderId="50" xfId="252" applyNumberFormat="1" applyFont="1" applyFill="1" applyBorder="1" applyAlignment="1">
      <alignment horizontal="center" vertical="center"/>
    </xf>
    <xf numFmtId="49" fontId="34" fillId="2" borderId="61" xfId="7" applyNumberFormat="1" applyFont="1" applyFill="1" applyBorder="1" applyAlignment="1">
      <alignment vertical="top" wrapText="1"/>
    </xf>
    <xf numFmtId="49" fontId="34" fillId="2" borderId="49" xfId="7" applyNumberFormat="1" applyFont="1" applyFill="1" applyBorder="1" applyAlignment="1">
      <alignment vertical="top" wrapText="1"/>
    </xf>
    <xf numFmtId="165" fontId="94" fillId="2" borderId="26" xfId="7" applyNumberFormat="1" applyFont="1" applyFill="1" applyBorder="1" applyAlignment="1">
      <alignment horizontal="center" vertical="center" shrinkToFit="1"/>
    </xf>
    <xf numFmtId="0" fontId="34" fillId="2" borderId="41" xfId="7" applyNumberFormat="1" applyFont="1" applyFill="1" applyBorder="1" applyAlignment="1">
      <alignment horizontal="center" vertical="center"/>
    </xf>
    <xf numFmtId="2" fontId="34" fillId="2" borderId="41" xfId="7" applyNumberFormat="1" applyFont="1" applyFill="1" applyBorder="1" applyAlignment="1">
      <alignment horizontal="center" vertical="center" shrinkToFit="1"/>
    </xf>
    <xf numFmtId="2" fontId="94" fillId="2" borderId="85" xfId="7" applyNumberFormat="1" applyFont="1" applyFill="1" applyBorder="1" applyAlignment="1">
      <alignment horizontal="center" vertical="center" shrinkToFit="1"/>
    </xf>
    <xf numFmtId="49" fontId="87" fillId="2" borderId="44" xfId="251" applyNumberFormat="1" applyFont="1" applyFill="1" applyBorder="1" applyAlignment="1">
      <alignment vertical="center" wrapText="1"/>
    </xf>
    <xf numFmtId="49" fontId="87" fillId="2" borderId="50" xfId="251" applyNumberFormat="1" applyFont="1" applyFill="1" applyBorder="1" applyAlignment="1">
      <alignment vertical="center" wrapText="1"/>
    </xf>
    <xf numFmtId="49" fontId="87" fillId="2" borderId="44" xfId="251" applyNumberFormat="1" applyFont="1" applyFill="1" applyBorder="1" applyAlignment="1">
      <alignment vertical="top" wrapText="1"/>
    </xf>
    <xf numFmtId="49" fontId="87" fillId="2" borderId="50" xfId="251" applyNumberFormat="1" applyFont="1" applyFill="1" applyBorder="1" applyAlignment="1">
      <alignment vertical="top" wrapText="1"/>
    </xf>
    <xf numFmtId="0" fontId="34" fillId="2" borderId="44" xfId="249" applyNumberFormat="1" applyFont="1" applyFill="1" applyBorder="1" applyAlignment="1">
      <alignment horizontal="center" vertical="center"/>
    </xf>
    <xf numFmtId="0" fontId="34" fillId="2" borderId="50" xfId="249" applyNumberFormat="1" applyFont="1" applyFill="1" applyBorder="1" applyAlignment="1">
      <alignment horizontal="center" vertical="center"/>
    </xf>
    <xf numFmtId="165" fontId="94" fillId="2" borderId="56" xfId="7" applyNumberFormat="1" applyFont="1" applyFill="1" applyBorder="1" applyAlignment="1">
      <alignment horizontal="center" vertical="center" shrinkToFit="1"/>
    </xf>
    <xf numFmtId="165" fontId="94" fillId="2" borderId="55" xfId="7" applyNumberFormat="1" applyFont="1" applyFill="1" applyBorder="1" applyAlignment="1">
      <alignment horizontal="center" vertical="center" shrinkToFit="1"/>
    </xf>
    <xf numFmtId="165" fontId="94" fillId="2" borderId="57" xfId="7" applyNumberFormat="1" applyFont="1" applyFill="1" applyBorder="1" applyAlignment="1">
      <alignment horizontal="center" vertical="center" shrinkToFit="1"/>
    </xf>
    <xf numFmtId="0" fontId="34" fillId="2" borderId="40" xfId="7" applyNumberFormat="1" applyFont="1" applyFill="1" applyBorder="1" applyAlignment="1">
      <alignment horizontal="left" vertical="center" shrinkToFit="1"/>
    </xf>
    <xf numFmtId="0" fontId="34" fillId="2" borderId="61" xfId="7" applyNumberFormat="1" applyFont="1" applyFill="1" applyBorder="1" applyAlignment="1">
      <alignment horizontal="center" vertical="center" shrinkToFit="1"/>
    </xf>
    <xf numFmtId="0" fontId="34" fillId="2" borderId="40" xfId="7" applyNumberFormat="1" applyFont="1" applyFill="1" applyBorder="1" applyAlignment="1">
      <alignment horizontal="center" vertical="center" shrinkToFit="1"/>
    </xf>
    <xf numFmtId="0" fontId="47" fillId="2" borderId="0" xfId="2" applyFont="1" applyFill="1" applyAlignment="1">
      <alignment horizontal="center" shrinkToFit="1"/>
    </xf>
    <xf numFmtId="169" fontId="47" fillId="2" borderId="0" xfId="2" applyNumberFormat="1" applyFont="1" applyFill="1" applyBorder="1" applyAlignment="1">
      <alignment horizontal="center" vertical="center"/>
    </xf>
    <xf numFmtId="0" fontId="47" fillId="2" borderId="0" xfId="2" applyFont="1" applyFill="1" applyBorder="1" applyAlignment="1">
      <alignment horizontal="center" wrapText="1"/>
    </xf>
    <xf numFmtId="0" fontId="47" fillId="2" borderId="0" xfId="2" applyFont="1" applyFill="1" applyBorder="1" applyAlignment="1">
      <alignment horizontal="center"/>
    </xf>
    <xf numFmtId="0" fontId="45" fillId="2" borderId="0" xfId="2" applyFont="1" applyFill="1" applyBorder="1" applyAlignment="1">
      <alignment horizontal="center" vertical="center"/>
    </xf>
    <xf numFmtId="2" fontId="47" fillId="2" borderId="0" xfId="2" applyNumberFormat="1" applyFont="1" applyFill="1" applyAlignment="1">
      <alignment horizontal="left" vertical="center" shrinkToFit="1"/>
    </xf>
    <xf numFmtId="0" fontId="46" fillId="2" borderId="30" xfId="2" applyFont="1" applyFill="1" applyBorder="1" applyAlignment="1">
      <alignment horizontal="left" vertical="center" wrapText="1"/>
    </xf>
    <xf numFmtId="0" fontId="46" fillId="2" borderId="40" xfId="2" applyFont="1" applyFill="1" applyBorder="1" applyAlignment="1">
      <alignment horizontal="left" vertical="center" wrapText="1"/>
    </xf>
    <xf numFmtId="0" fontId="46" fillId="2" borderId="49" xfId="2" applyFont="1" applyFill="1" applyBorder="1" applyAlignment="1">
      <alignment horizontal="left" vertical="center" wrapText="1"/>
    </xf>
    <xf numFmtId="0" fontId="35" fillId="2" borderId="2" xfId="2" applyFont="1" applyFill="1" applyBorder="1" applyAlignment="1">
      <alignment horizontal="center" vertical="center"/>
    </xf>
    <xf numFmtId="0" fontId="46" fillId="2" borderId="31" xfId="2" applyFont="1" applyFill="1" applyBorder="1" applyAlignment="1">
      <alignment horizontal="center" vertical="center" textRotation="90" wrapText="1"/>
    </xf>
    <xf numFmtId="0" fontId="46" fillId="2" borderId="41" xfId="2" applyFont="1" applyFill="1" applyBorder="1" applyAlignment="1">
      <alignment horizontal="center" vertical="center" textRotation="90" wrapText="1"/>
    </xf>
    <xf numFmtId="0" fontId="46" fillId="2" borderId="50" xfId="2" applyFont="1" applyFill="1" applyBorder="1" applyAlignment="1">
      <alignment horizontal="center" vertical="center" textRotation="90" wrapText="1"/>
    </xf>
    <xf numFmtId="0" fontId="46" fillId="2" borderId="31" xfId="2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50" xfId="0" applyFont="1" applyFill="1" applyBorder="1" applyAlignment="1">
      <alignment horizontal="center"/>
    </xf>
    <xf numFmtId="0" fontId="33" fillId="2" borderId="31" xfId="2" applyFont="1" applyFill="1" applyBorder="1" applyAlignment="1">
      <alignment horizontal="center" vertical="center" textRotation="90" wrapText="1"/>
    </xf>
    <xf numFmtId="0" fontId="33" fillId="2" borderId="41" xfId="2" applyFont="1" applyFill="1" applyBorder="1" applyAlignment="1">
      <alignment horizontal="center" vertical="center" textRotation="90" wrapText="1"/>
    </xf>
    <xf numFmtId="0" fontId="33" fillId="2" borderId="50" xfId="2" applyFont="1" applyFill="1" applyBorder="1" applyAlignment="1">
      <alignment horizontal="center" vertical="center" textRotation="90" wrapText="1"/>
    </xf>
    <xf numFmtId="0" fontId="33" fillId="2" borderId="32" xfId="2" applyFont="1" applyFill="1" applyBorder="1" applyAlignment="1">
      <alignment horizontal="center" vertical="center" textRotation="90" wrapText="1"/>
    </xf>
    <xf numFmtId="0" fontId="84" fillId="2" borderId="28" xfId="2" applyFont="1" applyFill="1" applyBorder="1" applyAlignment="1">
      <alignment horizontal="center" vertical="center"/>
    </xf>
    <xf numFmtId="0" fontId="84" fillId="2" borderId="33" xfId="2" applyFont="1" applyFill="1" applyBorder="1" applyAlignment="1">
      <alignment horizontal="center" vertical="center"/>
    </xf>
    <xf numFmtId="0" fontId="84" fillId="2" borderId="42" xfId="2" applyFont="1" applyFill="1" applyBorder="1" applyAlignment="1">
      <alignment horizontal="center" vertical="center"/>
    </xf>
    <xf numFmtId="0" fontId="84" fillId="2" borderId="0" xfId="2" applyFont="1" applyFill="1" applyBorder="1" applyAlignment="1">
      <alignment horizontal="center" vertical="center"/>
    </xf>
    <xf numFmtId="0" fontId="84" fillId="2" borderId="43" xfId="2" applyFont="1" applyFill="1" applyBorder="1" applyAlignment="1">
      <alignment horizontal="center" vertical="center"/>
    </xf>
    <xf numFmtId="0" fontId="84" fillId="2" borderId="51" xfId="2" applyFont="1" applyFill="1" applyBorder="1" applyAlignment="1">
      <alignment horizontal="center" vertical="center"/>
    </xf>
    <xf numFmtId="0" fontId="84" fillId="2" borderId="1" xfId="2" applyFont="1" applyFill="1" applyBorder="1" applyAlignment="1">
      <alignment horizontal="center" vertical="center"/>
    </xf>
    <xf numFmtId="0" fontId="84" fillId="2" borderId="52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right"/>
    </xf>
    <xf numFmtId="0" fontId="32" fillId="2" borderId="0" xfId="2" applyNumberFormat="1" applyFont="1" applyFill="1" applyBorder="1" applyAlignment="1">
      <alignment horizontal="center" vertical="center" wrapText="1"/>
    </xf>
    <xf numFmtId="0" fontId="42" fillId="2" borderId="0" xfId="2" applyFont="1" applyFill="1" applyBorder="1" applyAlignment="1">
      <alignment horizontal="center"/>
    </xf>
    <xf numFmtId="0" fontId="43" fillId="2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left"/>
    </xf>
    <xf numFmtId="2" fontId="44" fillId="2" borderId="0" xfId="2" applyNumberFormat="1" applyFont="1" applyFill="1" applyBorder="1" applyAlignment="1">
      <alignment horizontal="center" vertical="center" shrinkToFit="1"/>
    </xf>
    <xf numFmtId="14" fontId="31" fillId="2" borderId="0" xfId="2" applyNumberFormat="1" applyFont="1" applyFill="1" applyBorder="1" applyAlignment="1">
      <alignment horizontal="center" vertical="center"/>
    </xf>
    <xf numFmtId="2" fontId="47" fillId="2" borderId="0" xfId="2" applyNumberFormat="1" applyFont="1" applyFill="1" applyAlignment="1">
      <alignment horizontal="center" vertical="center" shrinkToFit="1"/>
    </xf>
    <xf numFmtId="0" fontId="48" fillId="2" borderId="0" xfId="2" applyFont="1" applyFill="1" applyAlignment="1">
      <alignment horizontal="center" vertical="center" shrinkToFit="1"/>
    </xf>
    <xf numFmtId="2" fontId="51" fillId="2" borderId="29" xfId="2" applyNumberFormat="1" applyFont="1" applyFill="1" applyBorder="1" applyAlignment="1">
      <alignment horizontal="center" vertical="center" textRotation="90" wrapText="1"/>
    </xf>
    <xf numFmtId="2" fontId="51" fillId="2" borderId="22" xfId="2" applyNumberFormat="1" applyFont="1" applyFill="1" applyBorder="1" applyAlignment="1">
      <alignment horizontal="center" vertical="center" textRotation="90" wrapText="1"/>
    </xf>
    <xf numFmtId="0" fontId="51" fillId="2" borderId="31" xfId="2" applyFont="1" applyFill="1" applyBorder="1" applyAlignment="1">
      <alignment horizontal="center" vertical="center" textRotation="90" wrapText="1"/>
    </xf>
    <xf numFmtId="0" fontId="51" fillId="2" borderId="41" xfId="2" applyFont="1" applyFill="1" applyBorder="1" applyAlignment="1">
      <alignment horizontal="center" vertical="center" textRotation="90" wrapText="1"/>
    </xf>
    <xf numFmtId="0" fontId="51" fillId="2" borderId="50" xfId="2" applyFont="1" applyFill="1" applyBorder="1" applyAlignment="1">
      <alignment horizontal="center" vertical="center" textRotation="90" wrapText="1"/>
    </xf>
    <xf numFmtId="0" fontId="33" fillId="2" borderId="44" xfId="2" applyFont="1" applyFill="1" applyBorder="1" applyAlignment="1">
      <alignment horizontal="center" vertical="center" textRotation="90" wrapText="1"/>
    </xf>
    <xf numFmtId="0" fontId="33" fillId="2" borderId="28" xfId="2" applyFont="1" applyFill="1" applyBorder="1" applyAlignment="1">
      <alignment horizontal="center" vertical="center" textRotation="90" wrapText="1"/>
    </xf>
    <xf numFmtId="0" fontId="33" fillId="2" borderId="33" xfId="2" applyFont="1" applyFill="1" applyBorder="1" applyAlignment="1">
      <alignment horizontal="center" vertical="center" textRotation="90" wrapText="1"/>
    </xf>
    <xf numFmtId="0" fontId="33" fillId="2" borderId="42" xfId="2" applyFont="1" applyFill="1" applyBorder="1" applyAlignment="1">
      <alignment horizontal="center" vertical="center" textRotation="90" wrapText="1"/>
    </xf>
    <xf numFmtId="0" fontId="33" fillId="2" borderId="0" xfId="2" applyFont="1" applyFill="1" applyBorder="1" applyAlignment="1">
      <alignment horizontal="center" vertical="center" textRotation="90" wrapText="1"/>
    </xf>
    <xf numFmtId="0" fontId="33" fillId="2" borderId="43" xfId="2" applyFont="1" applyFill="1" applyBorder="1" applyAlignment="1">
      <alignment horizontal="center" vertical="center" textRotation="90" wrapText="1"/>
    </xf>
    <xf numFmtId="0" fontId="33" fillId="2" borderId="51" xfId="2" applyFont="1" applyFill="1" applyBorder="1" applyAlignment="1">
      <alignment horizontal="center" vertical="center" textRotation="90" wrapText="1"/>
    </xf>
    <xf numFmtId="0" fontId="33" fillId="2" borderId="1" xfId="2" applyFont="1" applyFill="1" applyBorder="1" applyAlignment="1">
      <alignment horizontal="center" vertical="center" textRotation="90" wrapText="1"/>
    </xf>
    <xf numFmtId="0" fontId="33" fillId="2" borderId="52" xfId="2" applyFont="1" applyFill="1" applyBorder="1" applyAlignment="1">
      <alignment horizontal="center" vertical="center" textRotation="90" wrapText="1"/>
    </xf>
    <xf numFmtId="0" fontId="53" fillId="2" borderId="34" xfId="2" applyFont="1" applyFill="1" applyBorder="1" applyAlignment="1">
      <alignment horizontal="center" vertical="center" wrapText="1"/>
    </xf>
    <xf numFmtId="0" fontId="53" fillId="2" borderId="35" xfId="2" applyFont="1" applyFill="1" applyBorder="1" applyAlignment="1">
      <alignment horizontal="center" vertical="center" wrapText="1"/>
    </xf>
    <xf numFmtId="0" fontId="53" fillId="2" borderId="36" xfId="2" applyFont="1" applyFill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textRotation="90"/>
    </xf>
    <xf numFmtId="0" fontId="33" fillId="2" borderId="41" xfId="2" applyFont="1" applyFill="1" applyBorder="1" applyAlignment="1">
      <alignment horizontal="left" vertical="center" textRotation="90"/>
    </xf>
    <xf numFmtId="0" fontId="33" fillId="2" borderId="50" xfId="2" applyFont="1" applyFill="1" applyBorder="1" applyAlignment="1">
      <alignment horizontal="left" vertical="center" textRotation="90"/>
    </xf>
    <xf numFmtId="0" fontId="53" fillId="2" borderId="56" xfId="2" applyFont="1" applyFill="1" applyBorder="1" applyAlignment="1">
      <alignment horizontal="center" vertical="center" wrapText="1"/>
    </xf>
    <xf numFmtId="0" fontId="41" fillId="2" borderId="55" xfId="2" applyFont="1" applyFill="1" applyBorder="1" applyAlignment="1">
      <alignment horizontal="center" vertical="center"/>
    </xf>
    <xf numFmtId="0" fontId="41" fillId="2" borderId="57" xfId="2" applyFont="1" applyFill="1" applyBorder="1" applyAlignment="1">
      <alignment horizontal="center" vertical="center"/>
    </xf>
    <xf numFmtId="2" fontId="60" fillId="2" borderId="0" xfId="2" applyNumberFormat="1" applyFont="1" applyFill="1" applyBorder="1" applyAlignment="1">
      <alignment horizontal="center" vertical="top"/>
    </xf>
    <xf numFmtId="0" fontId="53" fillId="2" borderId="55" xfId="2" applyFont="1" applyFill="1" applyBorder="1" applyAlignment="1">
      <alignment horizontal="center" vertical="center" wrapText="1"/>
    </xf>
    <xf numFmtId="0" fontId="53" fillId="2" borderId="57" xfId="2" applyFont="1" applyFill="1" applyBorder="1" applyAlignment="1">
      <alignment horizontal="center" vertical="center" wrapText="1"/>
    </xf>
    <xf numFmtId="168" fontId="34" fillId="2" borderId="44" xfId="79" applyNumberFormat="1" applyFont="1" applyFill="1" applyBorder="1" applyAlignment="1">
      <alignment horizontal="center" vertical="center" shrinkToFit="1"/>
    </xf>
    <xf numFmtId="168" fontId="34" fillId="2" borderId="50" xfId="79" applyNumberFormat="1" applyFont="1" applyFill="1" applyBorder="1" applyAlignment="1">
      <alignment horizontal="center" vertical="center" shrinkToFit="1"/>
    </xf>
    <xf numFmtId="0" fontId="34" fillId="2" borderId="61" xfId="0" applyNumberFormat="1" applyFont="1" applyFill="1" applyBorder="1" applyAlignment="1">
      <alignment horizontal="left" vertical="center" shrinkToFit="1"/>
    </xf>
    <xf numFmtId="0" fontId="34" fillId="2" borderId="49" xfId="0" applyNumberFormat="1" applyFont="1" applyFill="1" applyBorder="1" applyAlignment="1">
      <alignment horizontal="left" vertical="center" shrinkToFit="1"/>
    </xf>
    <xf numFmtId="49" fontId="34" fillId="2" borderId="44" xfId="0" applyNumberFormat="1" applyFont="1" applyFill="1" applyBorder="1" applyAlignment="1">
      <alignment horizontal="center" vertical="center" wrapText="1"/>
    </xf>
    <xf numFmtId="49" fontId="34" fillId="2" borderId="50" xfId="0" applyNumberFormat="1" applyFont="1" applyFill="1" applyBorder="1" applyAlignment="1">
      <alignment horizontal="center" vertical="center" wrapText="1"/>
    </xf>
    <xf numFmtId="49" fontId="34" fillId="2" borderId="44" xfId="0" applyNumberFormat="1" applyFont="1" applyFill="1" applyBorder="1" applyAlignment="1">
      <alignment horizontal="left" vertical="top" wrapText="1"/>
    </xf>
    <xf numFmtId="49" fontId="34" fillId="2" borderId="50" xfId="0" applyNumberFormat="1" applyFont="1" applyFill="1" applyBorder="1" applyAlignment="1">
      <alignment horizontal="left" vertical="top" wrapText="1"/>
    </xf>
    <xf numFmtId="0" fontId="34" fillId="2" borderId="44" xfId="0" applyNumberFormat="1" applyFont="1" applyFill="1" applyBorder="1" applyAlignment="1">
      <alignment horizontal="center" vertical="center"/>
    </xf>
    <xf numFmtId="0" fontId="34" fillId="2" borderId="50" xfId="0" applyNumberFormat="1" applyFont="1" applyFill="1" applyBorder="1" applyAlignment="1">
      <alignment horizontal="center" vertical="center"/>
    </xf>
    <xf numFmtId="1" fontId="34" fillId="2" borderId="44" xfId="0" applyNumberFormat="1" applyFont="1" applyFill="1" applyBorder="1" applyAlignment="1">
      <alignment horizontal="center" vertical="center" shrinkToFit="1"/>
    </xf>
    <xf numFmtId="1" fontId="34" fillId="2" borderId="50" xfId="0" applyNumberFormat="1" applyFont="1" applyFill="1" applyBorder="1" applyAlignment="1">
      <alignment horizontal="center" vertical="center" shrinkToFit="1"/>
    </xf>
    <xf numFmtId="2" fontId="34" fillId="2" borderId="56" xfId="0" applyNumberFormat="1" applyFont="1" applyFill="1" applyBorder="1" applyAlignment="1">
      <alignment horizontal="center" vertical="center" shrinkToFit="1"/>
    </xf>
    <xf numFmtId="2" fontId="34" fillId="2" borderId="55" xfId="0" applyNumberFormat="1" applyFont="1" applyFill="1" applyBorder="1" applyAlignment="1">
      <alignment horizontal="center" vertical="center" shrinkToFit="1"/>
    </xf>
    <xf numFmtId="2" fontId="34" fillId="2" borderId="57" xfId="0" applyNumberFormat="1" applyFont="1" applyFill="1" applyBorder="1" applyAlignment="1">
      <alignment horizontal="center" vertical="center" shrinkToFit="1"/>
    </xf>
    <xf numFmtId="2" fontId="34" fillId="2" borderId="44" xfId="0" applyNumberFormat="1" applyFont="1" applyFill="1" applyBorder="1" applyAlignment="1">
      <alignment horizontal="center" vertical="center" shrinkToFit="1"/>
    </xf>
    <xf numFmtId="2" fontId="34" fillId="2" borderId="50" xfId="0" applyNumberFormat="1" applyFont="1" applyFill="1" applyBorder="1" applyAlignment="1">
      <alignment horizontal="center" vertical="center" shrinkToFit="1"/>
    </xf>
    <xf numFmtId="2" fontId="34" fillId="2" borderId="104" xfId="0" applyNumberFormat="1" applyFont="1" applyFill="1" applyBorder="1" applyAlignment="1">
      <alignment horizontal="center" vertical="center" shrinkToFit="1"/>
    </xf>
    <xf numFmtId="2" fontId="34" fillId="2" borderId="102" xfId="0" applyNumberFormat="1" applyFont="1" applyFill="1" applyBorder="1" applyAlignment="1">
      <alignment horizontal="center" vertical="center" shrinkToFit="1"/>
    </xf>
    <xf numFmtId="2" fontId="34" fillId="2" borderId="105" xfId="0" applyNumberFormat="1" applyFont="1" applyFill="1" applyBorder="1" applyAlignment="1">
      <alignment horizontal="center" vertical="center"/>
    </xf>
    <xf numFmtId="2" fontId="34" fillId="2" borderId="103" xfId="0" applyNumberFormat="1" applyFont="1" applyFill="1" applyBorder="1" applyAlignment="1">
      <alignment horizontal="center" vertical="center"/>
    </xf>
    <xf numFmtId="2" fontId="34" fillId="2" borderId="51" xfId="0" applyNumberFormat="1" applyFont="1" applyFill="1" applyBorder="1" applyAlignment="1">
      <alignment horizontal="center" vertical="center" shrinkToFit="1"/>
    </xf>
    <xf numFmtId="2" fontId="34" fillId="2" borderId="1" xfId="0" applyNumberFormat="1" applyFont="1" applyFill="1" applyBorder="1" applyAlignment="1">
      <alignment horizontal="center" vertical="center" shrinkToFit="1"/>
    </xf>
    <xf numFmtId="2" fontId="34" fillId="2" borderId="52" xfId="0" applyNumberFormat="1" applyFont="1" applyFill="1" applyBorder="1" applyAlignment="1">
      <alignment horizontal="center" vertical="center" shrinkToFit="1"/>
    </xf>
    <xf numFmtId="49" fontId="34" fillId="2" borderId="44" xfId="0" applyNumberFormat="1" applyFont="1" applyFill="1" applyBorder="1" applyAlignment="1">
      <alignment horizontal="left" vertical="center" wrapText="1"/>
    </xf>
    <xf numFmtId="49" fontId="34" fillId="2" borderId="50" xfId="0" applyNumberFormat="1" applyFont="1" applyFill="1" applyBorder="1" applyAlignment="1">
      <alignment horizontal="left" vertical="center" wrapText="1"/>
    </xf>
    <xf numFmtId="168" fontId="34" fillId="2" borderId="44" xfId="0" applyNumberFormat="1" applyFont="1" applyFill="1" applyBorder="1" applyAlignment="1">
      <alignment horizontal="center" vertical="center" shrinkToFit="1"/>
    </xf>
    <xf numFmtId="168" fontId="34" fillId="2" borderId="50" xfId="0" applyNumberFormat="1" applyFont="1" applyFill="1" applyBorder="1" applyAlignment="1">
      <alignment horizontal="center" vertical="center" shrinkToFit="1"/>
    </xf>
    <xf numFmtId="2" fontId="34" fillId="2" borderId="84" xfId="0" applyNumberFormat="1" applyFont="1" applyFill="1" applyBorder="1" applyAlignment="1">
      <alignment horizontal="center" vertical="center"/>
    </xf>
    <xf numFmtId="2" fontId="34" fillId="2" borderId="85" xfId="0" applyNumberFormat="1" applyFont="1" applyFill="1" applyBorder="1" applyAlignment="1">
      <alignment horizontal="center" vertical="center"/>
    </xf>
    <xf numFmtId="0" fontId="34" fillId="2" borderId="40" xfId="0" applyNumberFormat="1" applyFont="1" applyFill="1" applyBorder="1" applyAlignment="1">
      <alignment horizontal="left" vertical="center" shrinkToFit="1"/>
    </xf>
    <xf numFmtId="49" fontId="34" fillId="2" borderId="41" xfId="0" applyNumberFormat="1" applyFont="1" applyFill="1" applyBorder="1" applyAlignment="1">
      <alignment horizontal="center" vertical="center" wrapText="1"/>
    </xf>
    <xf numFmtId="49" fontId="34" fillId="2" borderId="41" xfId="0" applyNumberFormat="1" applyFont="1" applyFill="1" applyBorder="1" applyAlignment="1">
      <alignment horizontal="left" vertical="top" wrapText="1"/>
    </xf>
    <xf numFmtId="0" fontId="34" fillId="2" borderId="41" xfId="0" applyNumberFormat="1" applyFont="1" applyFill="1" applyBorder="1" applyAlignment="1">
      <alignment horizontal="center" vertical="center"/>
    </xf>
    <xf numFmtId="168" fontId="34" fillId="2" borderId="41" xfId="0" applyNumberFormat="1" applyFont="1" applyFill="1" applyBorder="1" applyAlignment="1">
      <alignment horizontal="center" vertical="center" shrinkToFit="1"/>
    </xf>
    <xf numFmtId="165" fontId="34" fillId="2" borderId="56" xfId="0" applyNumberFormat="1" applyFont="1" applyFill="1" applyBorder="1" applyAlignment="1">
      <alignment horizontal="center" vertical="center" shrinkToFit="1"/>
    </xf>
    <xf numFmtId="165" fontId="34" fillId="2" borderId="55" xfId="0" applyNumberFormat="1" applyFont="1" applyFill="1" applyBorder="1" applyAlignment="1">
      <alignment horizontal="center" vertical="center" shrinkToFit="1"/>
    </xf>
    <xf numFmtId="165" fontId="34" fillId="2" borderId="57" xfId="0" applyNumberFormat="1" applyFont="1" applyFill="1" applyBorder="1" applyAlignment="1">
      <alignment horizontal="center" vertical="center" shrinkToFit="1"/>
    </xf>
    <xf numFmtId="2" fontId="34" fillId="2" borderId="41" xfId="0" applyNumberFormat="1" applyFont="1" applyFill="1" applyBorder="1" applyAlignment="1">
      <alignment horizontal="center" vertical="center" shrinkToFit="1"/>
    </xf>
    <xf numFmtId="0" fontId="34" fillId="2" borderId="44" xfId="2" applyNumberFormat="1" applyFont="1" applyFill="1" applyBorder="1" applyAlignment="1">
      <alignment horizontal="center" vertical="center"/>
    </xf>
    <xf numFmtId="0" fontId="34" fillId="2" borderId="50" xfId="2" applyNumberFormat="1" applyFont="1" applyFill="1" applyBorder="1" applyAlignment="1">
      <alignment horizontal="center" vertical="center"/>
    </xf>
    <xf numFmtId="1" fontId="34" fillId="2" borderId="44" xfId="2" applyNumberFormat="1" applyFont="1" applyFill="1" applyBorder="1" applyAlignment="1">
      <alignment horizontal="center" vertical="center" shrinkToFit="1"/>
    </xf>
    <xf numFmtId="1" fontId="34" fillId="2" borderId="50" xfId="2" applyNumberFormat="1" applyFont="1" applyFill="1" applyBorder="1" applyAlignment="1">
      <alignment horizontal="center" vertical="center" shrinkToFit="1"/>
    </xf>
    <xf numFmtId="2" fontId="34" fillId="2" borderId="56" xfId="2" applyNumberFormat="1" applyFont="1" applyFill="1" applyBorder="1" applyAlignment="1">
      <alignment horizontal="center" vertical="center" shrinkToFit="1"/>
    </xf>
    <xf numFmtId="2" fontId="34" fillId="2" borderId="55" xfId="2" applyNumberFormat="1" applyFont="1" applyFill="1" applyBorder="1" applyAlignment="1">
      <alignment horizontal="center" vertical="center" shrinkToFit="1"/>
    </xf>
    <xf numFmtId="2" fontId="34" fillId="2" borderId="57" xfId="2" applyNumberFormat="1" applyFont="1" applyFill="1" applyBorder="1" applyAlignment="1">
      <alignment horizontal="center" vertical="center" shrinkToFit="1"/>
    </xf>
    <xf numFmtId="2" fontId="34" fillId="2" borderId="44" xfId="2" applyNumberFormat="1" applyFont="1" applyFill="1" applyBorder="1" applyAlignment="1">
      <alignment horizontal="center" vertical="center" shrinkToFit="1"/>
    </xf>
    <xf numFmtId="2" fontId="34" fillId="2" borderId="50" xfId="2" applyNumberFormat="1" applyFont="1" applyFill="1" applyBorder="1" applyAlignment="1">
      <alignment horizontal="center" vertical="center" shrinkToFit="1"/>
    </xf>
    <xf numFmtId="2" fontId="34" fillId="2" borderId="60" xfId="143" applyNumberFormat="1" applyFont="1" applyFill="1" applyBorder="1" applyAlignment="1">
      <alignment horizontal="center" vertical="center" shrinkToFit="1"/>
    </xf>
    <xf numFmtId="2" fontId="34" fillId="2" borderId="52" xfId="143" applyNumberFormat="1" applyFont="1" applyFill="1" applyBorder="1" applyAlignment="1">
      <alignment horizontal="center" vertical="center" shrinkToFit="1"/>
    </xf>
    <xf numFmtId="49" fontId="34" fillId="2" borderId="44" xfId="2" applyNumberFormat="1" applyFont="1" applyFill="1" applyBorder="1" applyAlignment="1">
      <alignment vertical="center" wrapText="1"/>
    </xf>
    <xf numFmtId="49" fontId="34" fillId="2" borderId="50" xfId="2" applyNumberFormat="1" applyFont="1" applyFill="1" applyBorder="1" applyAlignment="1">
      <alignment vertical="center" wrapText="1"/>
    </xf>
    <xf numFmtId="2" fontId="34" fillId="2" borderId="60" xfId="0" applyNumberFormat="1" applyFont="1" applyFill="1" applyBorder="1" applyAlignment="1">
      <alignment horizontal="center" vertical="center" shrinkToFit="1"/>
    </xf>
    <xf numFmtId="2" fontId="34" fillId="2" borderId="59" xfId="0" applyNumberFormat="1" applyFont="1" applyFill="1" applyBorder="1" applyAlignment="1">
      <alignment horizontal="center" vertical="center" shrinkToFit="1"/>
    </xf>
    <xf numFmtId="2" fontId="34" fillId="2" borderId="82" xfId="0" applyNumberFormat="1" applyFont="1" applyFill="1" applyBorder="1" applyAlignment="1">
      <alignment horizontal="center" vertical="center" shrinkToFit="1"/>
    </xf>
    <xf numFmtId="2" fontId="34" fillId="2" borderId="22" xfId="0" applyNumberFormat="1" applyFont="1" applyFill="1" applyBorder="1" applyAlignment="1">
      <alignment horizontal="center" vertical="center"/>
    </xf>
    <xf numFmtId="49" fontId="34" fillId="2" borderId="41" xfId="0" applyNumberFormat="1" applyFont="1" applyFill="1" applyBorder="1" applyAlignment="1">
      <alignment horizontal="left" vertical="center" wrapText="1"/>
    </xf>
    <xf numFmtId="2" fontId="34" fillId="2" borderId="42" xfId="0" applyNumberFormat="1" applyFont="1" applyFill="1" applyBorder="1" applyAlignment="1">
      <alignment horizontal="center" vertical="center" shrinkToFit="1"/>
    </xf>
    <xf numFmtId="2" fontId="34" fillId="2" borderId="0" xfId="0" applyNumberFormat="1" applyFont="1" applyFill="1" applyBorder="1" applyAlignment="1">
      <alignment horizontal="center" vertical="center" shrinkToFit="1"/>
    </xf>
    <xf numFmtId="2" fontId="34" fillId="2" borderId="43" xfId="0" applyNumberFormat="1" applyFont="1" applyFill="1" applyBorder="1" applyAlignment="1">
      <alignment horizontal="center" vertical="center" shrinkToFit="1"/>
    </xf>
    <xf numFmtId="0" fontId="34" fillId="2" borderId="44" xfId="0" applyNumberFormat="1" applyFont="1" applyFill="1" applyBorder="1" applyAlignment="1">
      <alignment horizontal="left" vertical="center" shrinkToFit="1"/>
    </xf>
    <xf numFmtId="0" fontId="34" fillId="2" borderId="50" xfId="0" applyNumberFormat="1" applyFont="1" applyFill="1" applyBorder="1" applyAlignment="1">
      <alignment horizontal="left" vertical="center" shrinkToFit="1"/>
    </xf>
    <xf numFmtId="0" fontId="119" fillId="2" borderId="26" xfId="74" applyFont="1" applyFill="1" applyBorder="1" applyAlignment="1">
      <alignment horizontal="left" vertical="center" wrapText="1"/>
    </xf>
    <xf numFmtId="49" fontId="34" fillId="2" borderId="44" xfId="2" applyNumberFormat="1" applyFont="1" applyFill="1" applyBorder="1" applyAlignment="1">
      <alignment horizontal="center" vertical="center" wrapText="1"/>
    </xf>
    <xf numFmtId="49" fontId="34" fillId="2" borderId="50" xfId="2" applyNumberFormat="1" applyFont="1" applyFill="1" applyBorder="1" applyAlignment="1">
      <alignment horizontal="center" vertical="center" wrapText="1"/>
    </xf>
    <xf numFmtId="49" fontId="119" fillId="2" borderId="26" xfId="74" applyNumberFormat="1" applyFont="1" applyFill="1" applyBorder="1" applyAlignment="1">
      <alignment horizontal="left" vertical="center" wrapText="1"/>
    </xf>
    <xf numFmtId="0" fontId="119" fillId="2" borderId="26" xfId="74" applyFont="1" applyFill="1" applyBorder="1" applyAlignment="1">
      <alignment horizontal="center" vertical="center" wrapText="1"/>
    </xf>
    <xf numFmtId="165" fontId="119" fillId="2" borderId="26" xfId="74" applyNumberFormat="1" applyFont="1" applyFill="1" applyBorder="1" applyAlignment="1">
      <alignment horizontal="center" vertical="center" wrapText="1"/>
    </xf>
    <xf numFmtId="2" fontId="119" fillId="2" borderId="26" xfId="0" applyNumberFormat="1" applyFont="1" applyFill="1" applyBorder="1" applyAlignment="1">
      <alignment horizontal="left" vertical="center" wrapText="1" shrinkToFit="1"/>
    </xf>
    <xf numFmtId="165" fontId="119" fillId="2" borderId="26" xfId="0" applyNumberFormat="1" applyFont="1" applyFill="1" applyBorder="1" applyAlignment="1">
      <alignment horizontal="left" vertical="center" wrapText="1" shrinkToFit="1"/>
    </xf>
    <xf numFmtId="49" fontId="34" fillId="2" borderId="26" xfId="7" applyNumberFormat="1" applyFont="1" applyFill="1" applyBorder="1" applyAlignment="1">
      <alignment horizontal="left" vertical="top" wrapText="1"/>
    </xf>
    <xf numFmtId="2" fontId="34" fillId="2" borderId="60" xfId="7" applyNumberFormat="1" applyFont="1" applyFill="1" applyBorder="1" applyAlignment="1">
      <alignment horizontal="center" vertical="center" shrinkToFit="1"/>
    </xf>
    <xf numFmtId="2" fontId="34" fillId="2" borderId="43" xfId="7" applyNumberFormat="1" applyFont="1" applyFill="1" applyBorder="1" applyAlignment="1">
      <alignment horizontal="center" vertical="center" shrinkToFit="1"/>
    </xf>
    <xf numFmtId="49" fontId="34" fillId="2" borderId="44" xfId="199" applyNumberFormat="1" applyFont="1" applyFill="1" applyBorder="1" applyAlignment="1">
      <alignment horizontal="left" vertical="center" wrapText="1"/>
    </xf>
    <xf numFmtId="49" fontId="34" fillId="2" borderId="50" xfId="199" applyNumberFormat="1" applyFont="1" applyFill="1" applyBorder="1" applyAlignment="1">
      <alignment horizontal="left" vertical="center" wrapText="1"/>
    </xf>
    <xf numFmtId="169" fontId="34" fillId="2" borderId="56" xfId="0" applyNumberFormat="1" applyFont="1" applyFill="1" applyBorder="1" applyAlignment="1">
      <alignment horizontal="center" vertical="center" shrinkToFit="1"/>
    </xf>
    <xf numFmtId="169" fontId="34" fillId="2" borderId="55" xfId="0" applyNumberFormat="1" applyFont="1" applyFill="1" applyBorder="1" applyAlignment="1">
      <alignment horizontal="center" vertical="center" shrinkToFit="1"/>
    </xf>
    <xf numFmtId="169" fontId="34" fillId="2" borderId="57" xfId="0" applyNumberFormat="1" applyFont="1" applyFill="1" applyBorder="1" applyAlignment="1">
      <alignment horizontal="center" vertical="center" shrinkToFit="1"/>
    </xf>
    <xf numFmtId="0" fontId="34" fillId="2" borderId="56" xfId="0" applyNumberFormat="1" applyFont="1" applyFill="1" applyBorder="1" applyAlignment="1">
      <alignment horizontal="center" vertical="center" shrinkToFit="1"/>
    </xf>
    <xf numFmtId="0" fontId="34" fillId="2" borderId="55" xfId="0" applyNumberFormat="1" applyFont="1" applyFill="1" applyBorder="1" applyAlignment="1">
      <alignment horizontal="center" vertical="center" shrinkToFit="1"/>
    </xf>
    <xf numFmtId="0" fontId="34" fillId="2" borderId="57" xfId="0" applyNumberFormat="1" applyFont="1" applyFill="1" applyBorder="1" applyAlignment="1">
      <alignment horizontal="center" vertical="center" shrinkToFit="1"/>
    </xf>
    <xf numFmtId="2" fontId="109" fillId="2" borderId="56" xfId="0" applyNumberFormat="1" applyFont="1" applyFill="1" applyBorder="1" applyAlignment="1">
      <alignment horizontal="center" vertical="center" shrinkToFit="1"/>
    </xf>
    <xf numFmtId="2" fontId="109" fillId="2" borderId="55" xfId="0" applyNumberFormat="1" applyFont="1" applyFill="1" applyBorder="1" applyAlignment="1">
      <alignment horizontal="center" vertical="center" shrinkToFit="1"/>
    </xf>
    <xf numFmtId="2" fontId="109" fillId="2" borderId="57" xfId="0" applyNumberFormat="1" applyFont="1" applyFill="1" applyBorder="1" applyAlignment="1">
      <alignment horizontal="center" vertical="center" shrinkToFit="1"/>
    </xf>
    <xf numFmtId="2" fontId="34" fillId="2" borderId="84" xfId="0" applyNumberFormat="1" applyFont="1" applyFill="1" applyBorder="1" applyAlignment="1">
      <alignment horizontal="center" vertical="center" shrinkToFit="1"/>
    </xf>
    <xf numFmtId="2" fontId="34" fillId="2" borderId="85" xfId="0" applyNumberFormat="1" applyFont="1" applyFill="1" applyBorder="1" applyAlignment="1">
      <alignment horizontal="center" vertical="center" shrinkToFit="1"/>
    </xf>
    <xf numFmtId="2" fontId="34" fillId="2" borderId="22" xfId="7" applyNumberFormat="1" applyFont="1" applyFill="1" applyBorder="1" applyAlignment="1">
      <alignment horizontal="center" vertical="center" shrinkToFit="1"/>
    </xf>
    <xf numFmtId="0" fontId="34" fillId="2" borderId="44" xfId="2" applyNumberFormat="1" applyFont="1" applyFill="1" applyBorder="1" applyAlignment="1">
      <alignment horizontal="left" vertical="center" shrinkToFit="1"/>
    </xf>
    <xf numFmtId="0" fontId="34" fillId="2" borderId="50" xfId="2" applyNumberFormat="1" applyFont="1" applyFill="1" applyBorder="1" applyAlignment="1">
      <alignment horizontal="left" vertical="center" shrinkToFit="1"/>
    </xf>
    <xf numFmtId="165" fontId="34" fillId="2" borderId="59" xfId="0" applyNumberFormat="1" applyFont="1" applyFill="1" applyBorder="1" applyAlignment="1">
      <alignment horizontal="center" vertical="center" shrinkToFit="1"/>
    </xf>
    <xf numFmtId="165" fontId="34" fillId="2" borderId="82" xfId="0" applyNumberFormat="1" applyFont="1" applyFill="1" applyBorder="1" applyAlignment="1">
      <alignment horizontal="center" vertical="center" shrinkToFit="1"/>
    </xf>
    <xf numFmtId="165" fontId="34" fillId="2" borderId="60" xfId="0" applyNumberFormat="1" applyFont="1" applyFill="1" applyBorder="1" applyAlignment="1">
      <alignment horizontal="center" vertical="center" shrinkToFit="1"/>
    </xf>
    <xf numFmtId="0" fontId="34" fillId="2" borderId="99" xfId="0" applyNumberFormat="1" applyFont="1" applyFill="1" applyBorder="1" applyAlignment="1">
      <alignment horizontal="left" vertical="center" shrinkToFit="1"/>
    </xf>
    <xf numFmtId="0" fontId="34" fillId="2" borderId="96" xfId="0" applyNumberFormat="1" applyFont="1" applyFill="1" applyBorder="1" applyAlignment="1">
      <alignment horizontal="left" vertical="center" shrinkToFit="1"/>
    </xf>
    <xf numFmtId="0" fontId="34" fillId="2" borderId="61" xfId="0" applyNumberFormat="1" applyFont="1" applyFill="1" applyBorder="1" applyAlignment="1">
      <alignment horizontal="center" vertical="center" shrinkToFit="1"/>
    </xf>
    <xf numFmtId="0" fontId="34" fillId="2" borderId="40" xfId="0" applyNumberFormat="1" applyFont="1" applyFill="1" applyBorder="1" applyAlignment="1">
      <alignment horizontal="center" vertical="center" shrinkToFit="1"/>
    </xf>
    <xf numFmtId="0" fontId="34" fillId="2" borderId="49" xfId="0" applyNumberFormat="1" applyFont="1" applyFill="1" applyBorder="1" applyAlignment="1">
      <alignment horizontal="center" vertical="center" shrinkToFit="1"/>
    </xf>
    <xf numFmtId="0" fontId="33" fillId="2" borderId="44" xfId="276" applyFont="1" applyFill="1" applyBorder="1" applyAlignment="1">
      <alignment horizontal="center" vertical="center"/>
    </xf>
    <xf numFmtId="0" fontId="33" fillId="2" borderId="41" xfId="276" applyFont="1" applyFill="1" applyBorder="1" applyAlignment="1">
      <alignment horizontal="center" vertical="center"/>
    </xf>
    <xf numFmtId="0" fontId="33" fillId="2" borderId="50" xfId="276" applyFont="1" applyFill="1" applyBorder="1" applyAlignment="1">
      <alignment horizontal="center" vertical="center"/>
    </xf>
    <xf numFmtId="0" fontId="33" fillId="2" borderId="44" xfId="276" applyFont="1" applyFill="1" applyBorder="1" applyAlignment="1">
      <alignment horizontal="center" vertical="center" wrapText="1"/>
    </xf>
    <xf numFmtId="0" fontId="33" fillId="2" borderId="41" xfId="276" applyFont="1" applyFill="1" applyBorder="1" applyAlignment="1">
      <alignment horizontal="center" vertical="center" wrapText="1"/>
    </xf>
    <xf numFmtId="0" fontId="34" fillId="2" borderId="44" xfId="276" applyFont="1" applyFill="1" applyBorder="1" applyAlignment="1">
      <alignment horizontal="left" vertical="center" wrapText="1"/>
    </xf>
    <xf numFmtId="0" fontId="34" fillId="2" borderId="41" xfId="276" applyFont="1" applyFill="1" applyBorder="1" applyAlignment="1">
      <alignment horizontal="left" vertical="center" wrapText="1"/>
    </xf>
    <xf numFmtId="168" fontId="33" fillId="2" borderId="44" xfId="276" applyNumberFormat="1" applyFont="1" applyFill="1" applyBorder="1" applyAlignment="1">
      <alignment horizontal="center" vertical="center"/>
    </xf>
    <xf numFmtId="168" fontId="33" fillId="2" borderId="41" xfId="276" applyNumberFormat="1" applyFont="1" applyFill="1" applyBorder="1" applyAlignment="1">
      <alignment horizontal="center" vertical="center"/>
    </xf>
    <xf numFmtId="2" fontId="34" fillId="2" borderId="26" xfId="0" applyNumberFormat="1" applyFont="1" applyFill="1" applyBorder="1" applyAlignment="1">
      <alignment horizontal="center" vertical="center" wrapText="1" shrinkToFit="1"/>
    </xf>
    <xf numFmtId="165" fontId="34" fillId="2" borderId="26" xfId="0" applyNumberFormat="1" applyFont="1" applyFill="1" applyBorder="1" applyAlignment="1">
      <alignment horizontal="center" vertical="center" wrapText="1" shrinkToFit="1"/>
    </xf>
    <xf numFmtId="2" fontId="34" fillId="2" borderId="115" xfId="0" applyNumberFormat="1" applyFont="1" applyFill="1" applyBorder="1" applyAlignment="1">
      <alignment horizontal="center" vertical="center" shrinkToFit="1"/>
    </xf>
    <xf numFmtId="0" fontId="34" fillId="2" borderId="61" xfId="74" applyFont="1" applyFill="1" applyBorder="1" applyAlignment="1">
      <alignment horizontal="center" vertical="center" wrapText="1"/>
    </xf>
    <xf numFmtId="0" fontId="34" fillId="2" borderId="40" xfId="74" applyFont="1" applyFill="1" applyBorder="1" applyAlignment="1">
      <alignment horizontal="center" vertical="center" wrapText="1"/>
    </xf>
    <xf numFmtId="0" fontId="34" fillId="2" borderId="49" xfId="74" applyFont="1" applyFill="1" applyBorder="1" applyAlignment="1">
      <alignment horizontal="center" vertical="center" wrapText="1"/>
    </xf>
    <xf numFmtId="49" fontId="34" fillId="2" borderId="44" xfId="74" applyNumberFormat="1" applyFont="1" applyFill="1" applyBorder="1" applyAlignment="1">
      <alignment horizontal="center" vertical="center" wrapText="1"/>
    </xf>
    <xf numFmtId="49" fontId="34" fillId="2" borderId="41" xfId="74" applyNumberFormat="1" applyFont="1" applyFill="1" applyBorder="1" applyAlignment="1">
      <alignment horizontal="center" vertical="center" wrapText="1"/>
    </xf>
    <xf numFmtId="49" fontId="34" fillId="2" borderId="50" xfId="74" applyNumberFormat="1" applyFont="1" applyFill="1" applyBorder="1" applyAlignment="1">
      <alignment horizontal="center" vertical="center" wrapText="1"/>
    </xf>
    <xf numFmtId="0" fontId="34" fillId="2" borderId="44" xfId="74" applyFont="1" applyFill="1" applyBorder="1" applyAlignment="1">
      <alignment horizontal="left" vertical="center" wrapText="1"/>
    </xf>
    <xf numFmtId="0" fontId="34" fillId="2" borderId="41" xfId="74" applyFont="1" applyFill="1" applyBorder="1" applyAlignment="1">
      <alignment horizontal="left" vertical="center" wrapText="1"/>
    </xf>
    <xf numFmtId="0" fontId="34" fillId="2" borderId="50" xfId="74" applyFont="1" applyFill="1" applyBorder="1" applyAlignment="1">
      <alignment horizontal="left" vertical="center" wrapText="1"/>
    </xf>
    <xf numFmtId="0" fontId="34" fillId="2" borderId="44" xfId="74" applyFont="1" applyFill="1" applyBorder="1" applyAlignment="1">
      <alignment horizontal="center" vertical="center" wrapText="1"/>
    </xf>
    <xf numFmtId="0" fontId="34" fillId="2" borderId="41" xfId="74" applyFont="1" applyFill="1" applyBorder="1" applyAlignment="1">
      <alignment horizontal="center" vertical="center" wrapText="1"/>
    </xf>
    <xf numFmtId="0" fontId="34" fillId="2" borderId="50" xfId="74" applyFont="1" applyFill="1" applyBorder="1" applyAlignment="1">
      <alignment horizontal="center" vertical="center" wrapText="1"/>
    </xf>
    <xf numFmtId="165" fontId="34" fillId="2" borderId="44" xfId="74" applyNumberFormat="1" applyFont="1" applyFill="1" applyBorder="1" applyAlignment="1">
      <alignment horizontal="center" vertical="center" wrapText="1"/>
    </xf>
    <xf numFmtId="165" fontId="34" fillId="2" borderId="41" xfId="74" applyNumberFormat="1" applyFont="1" applyFill="1" applyBorder="1" applyAlignment="1">
      <alignment horizontal="center" vertical="center" wrapText="1"/>
    </xf>
    <xf numFmtId="165" fontId="34" fillId="2" borderId="50" xfId="74" applyNumberFormat="1" applyFont="1" applyFill="1" applyBorder="1" applyAlignment="1">
      <alignment horizontal="center" vertical="center" wrapText="1"/>
    </xf>
    <xf numFmtId="2" fontId="34" fillId="2" borderId="56" xfId="76" applyNumberFormat="1" applyFont="1" applyFill="1" applyBorder="1" applyAlignment="1">
      <alignment horizontal="center" vertical="center" wrapText="1" shrinkToFit="1"/>
    </xf>
    <xf numFmtId="2" fontId="34" fillId="2" borderId="55" xfId="76" applyNumberFormat="1" applyFont="1" applyFill="1" applyBorder="1" applyAlignment="1">
      <alignment horizontal="center" vertical="center" wrapText="1" shrinkToFit="1"/>
    </xf>
    <xf numFmtId="2" fontId="34" fillId="2" borderId="57" xfId="76" applyNumberFormat="1" applyFont="1" applyFill="1" applyBorder="1" applyAlignment="1">
      <alignment horizontal="center" vertical="center" wrapText="1" shrinkToFit="1"/>
    </xf>
    <xf numFmtId="165" fontId="34" fillId="2" borderId="56" xfId="76" applyNumberFormat="1" applyFont="1" applyFill="1" applyBorder="1" applyAlignment="1">
      <alignment horizontal="center" vertical="center" wrapText="1" shrinkToFit="1"/>
    </xf>
    <xf numFmtId="165" fontId="34" fillId="2" borderId="55" xfId="76" applyNumberFormat="1" applyFont="1" applyFill="1" applyBorder="1" applyAlignment="1">
      <alignment horizontal="center" vertical="center" wrapText="1" shrinkToFit="1"/>
    </xf>
    <xf numFmtId="165" fontId="34" fillId="2" borderId="57" xfId="76" applyNumberFormat="1" applyFont="1" applyFill="1" applyBorder="1" applyAlignment="1">
      <alignment horizontal="center" vertical="center" wrapText="1" shrinkToFit="1"/>
    </xf>
    <xf numFmtId="2" fontId="34" fillId="2" borderId="26" xfId="0" applyNumberFormat="1" applyFont="1" applyFill="1" applyBorder="1" applyAlignment="1">
      <alignment horizontal="center" vertical="center" shrinkToFit="1"/>
    </xf>
    <xf numFmtId="2" fontId="34" fillId="2" borderId="58" xfId="0" applyNumberFormat="1" applyFont="1" applyFill="1" applyBorder="1" applyAlignment="1">
      <alignment horizontal="center" vertical="center" wrapText="1" shrinkToFit="1"/>
    </xf>
    <xf numFmtId="0" fontId="34" fillId="2" borderId="61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2" fontId="94" fillId="2" borderId="59" xfId="0" applyNumberFormat="1" applyFont="1" applyFill="1" applyBorder="1" applyAlignment="1">
      <alignment horizontal="center" vertical="center" shrinkToFit="1"/>
    </xf>
    <xf numFmtId="2" fontId="94" fillId="2" borderId="115" xfId="0" applyNumberFormat="1" applyFont="1" applyFill="1" applyBorder="1" applyAlignment="1">
      <alignment horizontal="center" vertical="center" shrinkToFit="1"/>
    </xf>
    <xf numFmtId="2" fontId="94" fillId="2" borderId="60" xfId="0" applyNumberFormat="1" applyFont="1" applyFill="1" applyBorder="1" applyAlignment="1">
      <alignment horizontal="center" vertical="center" shrinkToFit="1"/>
    </xf>
    <xf numFmtId="2" fontId="94" fillId="2" borderId="59" xfId="0" applyNumberFormat="1" applyFont="1" applyFill="1" applyBorder="1" applyAlignment="1">
      <alignment horizontal="center" vertical="top" shrinkToFit="1"/>
    </xf>
    <xf numFmtId="2" fontId="94" fillId="2" borderId="115" xfId="0" applyNumberFormat="1" applyFont="1" applyFill="1" applyBorder="1" applyAlignment="1">
      <alignment horizontal="center" vertical="top" shrinkToFit="1"/>
    </xf>
    <xf numFmtId="2" fontId="94" fillId="2" borderId="60" xfId="0" applyNumberFormat="1" applyFont="1" applyFill="1" applyBorder="1" applyAlignment="1">
      <alignment horizontal="center" vertical="top" shrinkToFit="1"/>
    </xf>
    <xf numFmtId="2" fontId="94" fillId="2" borderId="51" xfId="0" applyNumberFormat="1" applyFont="1" applyFill="1" applyBorder="1" applyAlignment="1">
      <alignment horizontal="center" vertical="center" shrinkToFit="1"/>
    </xf>
    <xf numFmtId="2" fontId="94" fillId="2" borderId="1" xfId="0" applyNumberFormat="1" applyFont="1" applyFill="1" applyBorder="1" applyAlignment="1">
      <alignment horizontal="center" vertical="center" shrinkToFit="1"/>
    </xf>
    <xf numFmtId="2" fontId="94" fillId="2" borderId="52" xfId="0" applyNumberFormat="1" applyFont="1" applyFill="1" applyBorder="1" applyAlignment="1">
      <alignment horizontal="center" vertical="center" shrinkToFit="1"/>
    </xf>
    <xf numFmtId="2" fontId="94" fillId="2" borderId="51" xfId="0" applyNumberFormat="1" applyFont="1" applyFill="1" applyBorder="1" applyAlignment="1">
      <alignment horizontal="center" vertical="top" shrinkToFit="1"/>
    </xf>
    <xf numFmtId="2" fontId="94" fillId="2" borderId="1" xfId="0" applyNumberFormat="1" applyFont="1" applyFill="1" applyBorder="1" applyAlignment="1">
      <alignment horizontal="center" vertical="top" shrinkToFit="1"/>
    </xf>
    <xf numFmtId="2" fontId="94" fillId="2" borderId="52" xfId="0" applyNumberFormat="1" applyFont="1" applyFill="1" applyBorder="1" applyAlignment="1">
      <alignment horizontal="center" vertical="top" shrinkToFit="1"/>
    </xf>
    <xf numFmtId="2" fontId="33" fillId="2" borderId="44" xfId="76" applyNumberFormat="1" applyFont="1" applyFill="1" applyBorder="1" applyAlignment="1">
      <alignment horizontal="center" vertical="center" wrapText="1" shrinkToFit="1"/>
    </xf>
    <xf numFmtId="2" fontId="33" fillId="2" borderId="41" xfId="76" applyNumberFormat="1" applyFont="1" applyFill="1" applyBorder="1" applyAlignment="1">
      <alignment horizontal="center" vertical="center" wrapText="1" shrinkToFit="1"/>
    </xf>
    <xf numFmtId="2" fontId="33" fillId="2" borderId="50" xfId="76" applyNumberFormat="1" applyFont="1" applyFill="1" applyBorder="1" applyAlignment="1">
      <alignment horizontal="center" vertical="center" wrapText="1" shrinkToFit="1"/>
    </xf>
    <xf numFmtId="2" fontId="33" fillId="2" borderId="84" xfId="76" applyNumberFormat="1" applyFont="1" applyFill="1" applyBorder="1" applyAlignment="1">
      <alignment horizontal="center" vertical="center" wrapText="1" shrinkToFit="1"/>
    </xf>
    <xf numFmtId="2" fontId="33" fillId="2" borderId="22" xfId="76" applyNumberFormat="1" applyFont="1" applyFill="1" applyBorder="1" applyAlignment="1">
      <alignment horizontal="center" vertical="center" wrapText="1" shrinkToFit="1"/>
    </xf>
    <xf numFmtId="2" fontId="33" fillId="2" borderId="85" xfId="76" applyNumberFormat="1" applyFont="1" applyFill="1" applyBorder="1" applyAlignment="1">
      <alignment horizontal="center" vertical="center" wrapText="1" shrinkToFit="1"/>
    </xf>
    <xf numFmtId="2" fontId="34" fillId="2" borderId="59" xfId="76" applyNumberFormat="1" applyFont="1" applyFill="1" applyBorder="1" applyAlignment="1">
      <alignment horizontal="center" vertical="center" wrapText="1" shrinkToFit="1"/>
    </xf>
    <xf numFmtId="2" fontId="34" fillId="2" borderId="115" xfId="76" applyNumberFormat="1" applyFont="1" applyFill="1" applyBorder="1" applyAlignment="1">
      <alignment horizontal="center" vertical="center" wrapText="1" shrinkToFit="1"/>
    </xf>
    <xf numFmtId="2" fontId="34" fillId="2" borderId="60" xfId="76" applyNumberFormat="1" applyFont="1" applyFill="1" applyBorder="1" applyAlignment="1">
      <alignment horizontal="center" vertical="center" wrapText="1" shrinkToFit="1"/>
    </xf>
    <xf numFmtId="2" fontId="34" fillId="2" borderId="42" xfId="76" applyNumberFormat="1" applyFont="1" applyFill="1" applyBorder="1" applyAlignment="1">
      <alignment horizontal="center" vertical="center" wrapText="1" shrinkToFit="1"/>
    </xf>
    <xf numFmtId="2" fontId="34" fillId="2" borderId="0" xfId="76" applyNumberFormat="1" applyFont="1" applyFill="1" applyBorder="1" applyAlignment="1">
      <alignment horizontal="center" vertical="center" wrapText="1" shrinkToFit="1"/>
    </xf>
    <xf numFmtId="2" fontId="34" fillId="2" borderId="43" xfId="76" applyNumberFormat="1" applyFont="1" applyFill="1" applyBorder="1" applyAlignment="1">
      <alignment horizontal="center" vertical="center" wrapText="1" shrinkToFit="1"/>
    </xf>
    <xf numFmtId="2" fontId="34" fillId="2" borderId="51" xfId="76" applyNumberFormat="1" applyFont="1" applyFill="1" applyBorder="1" applyAlignment="1">
      <alignment horizontal="center" vertical="center" wrapText="1" shrinkToFit="1"/>
    </xf>
    <xf numFmtId="2" fontId="34" fillId="2" borderId="1" xfId="76" applyNumberFormat="1" applyFont="1" applyFill="1" applyBorder="1" applyAlignment="1">
      <alignment horizontal="center" vertical="center" wrapText="1" shrinkToFit="1"/>
    </xf>
    <xf numFmtId="2" fontId="34" fillId="2" borderId="52" xfId="76" applyNumberFormat="1" applyFont="1" applyFill="1" applyBorder="1" applyAlignment="1">
      <alignment horizontal="center" vertical="center" wrapText="1" shrinkToFit="1"/>
    </xf>
    <xf numFmtId="0" fontId="34" fillId="2" borderId="61" xfId="74" applyFont="1" applyFill="1" applyBorder="1" applyAlignment="1">
      <alignment horizontal="center" vertical="center"/>
    </xf>
    <xf numFmtId="0" fontId="34" fillId="2" borderId="40" xfId="74" applyFont="1" applyFill="1" applyBorder="1" applyAlignment="1">
      <alignment horizontal="center" vertical="center"/>
    </xf>
    <xf numFmtId="0" fontId="34" fillId="2" borderId="49" xfId="74" applyFont="1" applyFill="1" applyBorder="1" applyAlignment="1">
      <alignment horizontal="center" vertical="center"/>
    </xf>
    <xf numFmtId="0" fontId="34" fillId="2" borderId="44" xfId="74" applyFont="1" applyFill="1" applyBorder="1" applyAlignment="1">
      <alignment horizontal="center" vertical="center"/>
    </xf>
    <xf numFmtId="0" fontId="34" fillId="2" borderId="41" xfId="74" applyFont="1" applyFill="1" applyBorder="1" applyAlignment="1">
      <alignment horizontal="center" vertical="center"/>
    </xf>
    <xf numFmtId="0" fontId="34" fillId="2" borderId="50" xfId="74" applyFont="1" applyFill="1" applyBorder="1" applyAlignment="1">
      <alignment horizontal="center" vertical="center"/>
    </xf>
    <xf numFmtId="2" fontId="34" fillId="2" borderId="44" xfId="74" applyNumberFormat="1" applyFont="1" applyFill="1" applyBorder="1" applyAlignment="1">
      <alignment horizontal="center" vertical="center"/>
    </xf>
    <xf numFmtId="2" fontId="34" fillId="2" borderId="41" xfId="74" applyNumberFormat="1" applyFont="1" applyFill="1" applyBorder="1" applyAlignment="1">
      <alignment horizontal="center" vertical="center"/>
    </xf>
    <xf numFmtId="2" fontId="34" fillId="2" borderId="50" xfId="74" applyNumberFormat="1" applyFont="1" applyFill="1" applyBorder="1" applyAlignment="1">
      <alignment horizontal="center" vertical="center"/>
    </xf>
    <xf numFmtId="169" fontId="34" fillId="2" borderId="26" xfId="0" applyNumberFormat="1" applyFont="1" applyFill="1" applyBorder="1" applyAlignment="1">
      <alignment horizontal="center" vertical="center" wrapText="1" shrinkToFit="1"/>
    </xf>
    <xf numFmtId="0" fontId="34" fillId="2" borderId="53" xfId="64" applyFont="1" applyFill="1" applyBorder="1" applyAlignment="1">
      <alignment horizontal="center" vertical="center" wrapText="1"/>
    </xf>
    <xf numFmtId="49" fontId="34" fillId="2" borderId="26" xfId="0" applyNumberFormat="1" applyFont="1" applyFill="1" applyBorder="1" applyAlignment="1">
      <alignment horizontal="center" vertical="center" wrapText="1"/>
    </xf>
    <xf numFmtId="49" fontId="34" fillId="2" borderId="26" xfId="0" applyNumberFormat="1" applyFont="1" applyFill="1" applyBorder="1" applyAlignment="1">
      <alignment horizontal="left" vertical="top" wrapText="1"/>
    </xf>
    <xf numFmtId="2" fontId="34" fillId="2" borderId="44" xfId="193" applyNumberFormat="1" applyFont="1" applyFill="1" applyBorder="1" applyAlignment="1">
      <alignment horizontal="center" vertical="center" shrinkToFit="1"/>
    </xf>
    <xf numFmtId="2" fontId="34" fillId="2" borderId="41" xfId="193" applyNumberFormat="1" applyFont="1" applyFill="1" applyBorder="1" applyAlignment="1">
      <alignment horizontal="center" vertical="center" shrinkToFit="1"/>
    </xf>
    <xf numFmtId="2" fontId="34" fillId="2" borderId="50" xfId="193" applyNumberFormat="1" applyFont="1" applyFill="1" applyBorder="1" applyAlignment="1">
      <alignment horizontal="center" vertical="center" shrinkToFit="1"/>
    </xf>
    <xf numFmtId="165" fontId="34" fillId="2" borderId="44" xfId="0" applyNumberFormat="1" applyFont="1" applyFill="1" applyBorder="1" applyAlignment="1">
      <alignment horizontal="center" vertical="center" shrinkToFit="1"/>
    </xf>
    <xf numFmtId="165" fontId="34" fillId="2" borderId="41" xfId="0" applyNumberFormat="1" applyFont="1" applyFill="1" applyBorder="1" applyAlignment="1">
      <alignment horizontal="center" vertical="center" shrinkToFit="1"/>
    </xf>
    <xf numFmtId="165" fontId="34" fillId="2" borderId="50" xfId="0" applyNumberFormat="1" applyFont="1" applyFill="1" applyBorder="1" applyAlignment="1">
      <alignment horizontal="center" vertical="center" shrinkToFit="1"/>
    </xf>
    <xf numFmtId="2" fontId="34" fillId="2" borderId="58" xfId="0" applyNumberFormat="1" applyFont="1" applyFill="1" applyBorder="1" applyAlignment="1">
      <alignment horizontal="center" vertical="center" shrinkToFit="1"/>
    </xf>
    <xf numFmtId="2" fontId="34" fillId="2" borderId="84" xfId="193" applyNumberFormat="1" applyFont="1" applyFill="1" applyBorder="1" applyAlignment="1">
      <alignment horizontal="center" vertical="center"/>
    </xf>
    <xf numFmtId="2" fontId="34" fillId="2" borderId="22" xfId="193" applyNumberFormat="1" applyFont="1" applyFill="1" applyBorder="1" applyAlignment="1">
      <alignment horizontal="center" vertical="center"/>
    </xf>
    <xf numFmtId="2" fontId="34" fillId="2" borderId="85" xfId="193" applyNumberFormat="1" applyFont="1" applyFill="1" applyBorder="1" applyAlignment="1">
      <alignment horizontal="center" vertical="center"/>
    </xf>
    <xf numFmtId="169" fontId="34" fillId="2" borderId="56" xfId="194" applyNumberFormat="1" applyFont="1" applyFill="1" applyBorder="1" applyAlignment="1">
      <alignment horizontal="center" vertical="center" shrinkToFit="1"/>
    </xf>
    <xf numFmtId="169" fontId="34" fillId="2" borderId="55" xfId="194" applyNumberFormat="1" applyFont="1" applyFill="1" applyBorder="1" applyAlignment="1">
      <alignment horizontal="center" vertical="center" shrinkToFit="1"/>
    </xf>
    <xf numFmtId="169" fontId="34" fillId="2" borderId="57" xfId="194" applyNumberFormat="1" applyFont="1" applyFill="1" applyBorder="1" applyAlignment="1">
      <alignment horizontal="center" vertical="center" shrinkToFit="1"/>
    </xf>
    <xf numFmtId="0" fontId="46" fillId="2" borderId="30" xfId="2" applyFont="1" applyFill="1" applyBorder="1" applyAlignment="1">
      <alignment horizontal="center" vertical="center" wrapText="1"/>
    </xf>
    <xf numFmtId="0" fontId="46" fillId="2" borderId="40" xfId="2" applyFont="1" applyFill="1" applyBorder="1" applyAlignment="1">
      <alignment horizontal="center" vertical="center" wrapText="1"/>
    </xf>
    <xf numFmtId="0" fontId="46" fillId="2" borderId="49" xfId="2" applyFont="1" applyFill="1" applyBorder="1" applyAlignment="1">
      <alignment horizontal="center" vertical="center" wrapText="1"/>
    </xf>
    <xf numFmtId="0" fontId="102" fillId="2" borderId="1" xfId="2" applyNumberFormat="1" applyFont="1" applyFill="1" applyBorder="1" applyAlignment="1">
      <alignment horizontal="center" vertical="center" wrapText="1"/>
    </xf>
    <xf numFmtId="169" fontId="47" fillId="2" borderId="0" xfId="2" applyNumberFormat="1" applyFont="1" applyFill="1" applyBorder="1" applyAlignment="1">
      <alignment horizontal="left"/>
    </xf>
    <xf numFmtId="0" fontId="45" fillId="2" borderId="0" xfId="2" applyFont="1" applyFill="1" applyBorder="1" applyAlignment="1">
      <alignment horizontal="center"/>
    </xf>
    <xf numFmtId="0" fontId="32" fillId="2" borderId="42" xfId="2" applyFont="1" applyFill="1" applyBorder="1" applyAlignment="1">
      <alignment horizontal="left" vertical="center" indent="35"/>
    </xf>
    <xf numFmtId="0" fontId="32" fillId="2" borderId="0" xfId="2" applyFont="1" applyFill="1" applyBorder="1" applyAlignment="1">
      <alignment horizontal="left" vertical="center" indent="35"/>
    </xf>
    <xf numFmtId="14" fontId="31" fillId="2" borderId="0" xfId="2" applyNumberFormat="1" applyFont="1" applyFill="1" applyBorder="1" applyAlignment="1">
      <alignment horizontal="left"/>
    </xf>
    <xf numFmtId="0" fontId="33" fillId="2" borderId="44" xfId="2" applyFont="1" applyFill="1" applyBorder="1" applyAlignment="1">
      <alignment horizontal="center" vertical="center" textRotation="90"/>
    </xf>
    <xf numFmtId="0" fontId="33" fillId="2" borderId="41" xfId="2" applyFont="1" applyFill="1" applyBorder="1" applyAlignment="1">
      <alignment horizontal="center" vertical="center" textRotation="90"/>
    </xf>
    <xf numFmtId="0" fontId="33" fillId="2" borderId="50" xfId="2" applyFont="1" applyFill="1" applyBorder="1" applyAlignment="1">
      <alignment horizontal="center" vertical="center" textRotation="90"/>
    </xf>
    <xf numFmtId="10" fontId="33" fillId="2" borderId="31" xfId="2" applyNumberFormat="1" applyFont="1" applyFill="1" applyBorder="1" applyAlignment="1">
      <alignment horizontal="center" vertical="center" textRotation="90" wrapText="1"/>
    </xf>
    <xf numFmtId="10" fontId="33" fillId="2" borderId="41" xfId="2" applyNumberFormat="1" applyFont="1" applyFill="1" applyBorder="1" applyAlignment="1">
      <alignment horizontal="center" vertical="center" textRotation="90" wrapText="1"/>
    </xf>
    <xf numFmtId="10" fontId="33" fillId="2" borderId="50" xfId="2" applyNumberFormat="1" applyFont="1" applyFill="1" applyBorder="1" applyAlignment="1">
      <alignment horizontal="center" vertical="center" textRotation="90" wrapText="1"/>
    </xf>
    <xf numFmtId="0" fontId="41" fillId="2" borderId="55" xfId="2" applyFont="1" applyFill="1" applyBorder="1" applyAlignment="1">
      <alignment horizontal="center"/>
    </xf>
    <xf numFmtId="0" fontId="41" fillId="2" borderId="57" xfId="2" applyFont="1" applyFill="1" applyBorder="1" applyAlignment="1">
      <alignment horizontal="center"/>
    </xf>
    <xf numFmtId="0" fontId="33" fillId="2" borderId="44" xfId="2" applyFont="1" applyFill="1" applyBorder="1" applyAlignment="1">
      <alignment horizontal="right" vertical="center" textRotation="90" wrapText="1"/>
    </xf>
    <xf numFmtId="0" fontId="33" fillId="2" borderId="41" xfId="2" applyFont="1" applyFill="1" applyBorder="1" applyAlignment="1">
      <alignment horizontal="right" vertical="center" textRotation="90" wrapText="1"/>
    </xf>
    <xf numFmtId="0" fontId="33" fillId="2" borderId="50" xfId="2" applyFont="1" applyFill="1" applyBorder="1" applyAlignment="1">
      <alignment horizontal="right" vertical="center" textRotation="90" wrapText="1"/>
    </xf>
    <xf numFmtId="0" fontId="84" fillId="2" borderId="28" xfId="2" applyFont="1" applyFill="1" applyBorder="1" applyAlignment="1">
      <alignment horizontal="center"/>
    </xf>
    <xf numFmtId="0" fontId="84" fillId="2" borderId="33" xfId="2" applyFont="1" applyFill="1" applyBorder="1" applyAlignment="1">
      <alignment horizontal="center"/>
    </xf>
    <xf numFmtId="0" fontId="84" fillId="2" borderId="42" xfId="2" applyFont="1" applyFill="1" applyBorder="1" applyAlignment="1">
      <alignment horizontal="center"/>
    </xf>
    <xf numFmtId="0" fontId="84" fillId="2" borderId="0" xfId="2" applyFont="1" applyFill="1" applyBorder="1" applyAlignment="1">
      <alignment horizontal="center"/>
    </xf>
    <xf numFmtId="0" fontId="84" fillId="2" borderId="43" xfId="2" applyFont="1" applyFill="1" applyBorder="1" applyAlignment="1">
      <alignment horizontal="center"/>
    </xf>
    <xf numFmtId="0" fontId="84" fillId="2" borderId="51" xfId="2" applyFont="1" applyFill="1" applyBorder="1" applyAlignment="1">
      <alignment horizontal="center"/>
    </xf>
    <xf numFmtId="0" fontId="84" fillId="2" borderId="1" xfId="2" applyFont="1" applyFill="1" applyBorder="1" applyAlignment="1">
      <alignment horizontal="center"/>
    </xf>
    <xf numFmtId="0" fontId="84" fillId="2" borderId="52" xfId="2" applyFont="1" applyFill="1" applyBorder="1" applyAlignment="1">
      <alignment horizontal="center"/>
    </xf>
    <xf numFmtId="0" fontId="39" fillId="2" borderId="56" xfId="75" applyNumberFormat="1" applyFont="1" applyFill="1" applyBorder="1" applyAlignment="1">
      <alignment horizontal="left" vertical="top"/>
    </xf>
    <xf numFmtId="0" fontId="39" fillId="2" borderId="55" xfId="75" applyNumberFormat="1" applyFont="1" applyFill="1" applyBorder="1" applyAlignment="1">
      <alignment horizontal="left" vertical="top"/>
    </xf>
    <xf numFmtId="0" fontId="39" fillId="2" borderId="57" xfId="75" applyNumberFormat="1" applyFont="1" applyFill="1" applyBorder="1" applyAlignment="1">
      <alignment horizontal="left" vertical="top"/>
    </xf>
    <xf numFmtId="2" fontId="60" fillId="2" borderId="0" xfId="2" applyNumberFormat="1" applyFont="1" applyFill="1" applyBorder="1" applyAlignment="1">
      <alignment horizontal="center"/>
    </xf>
    <xf numFmtId="2" fontId="51" fillId="2" borderId="22" xfId="2" applyNumberFormat="1" applyFont="1" applyFill="1" applyBorder="1" applyAlignment="1">
      <alignment horizontal="center" textRotation="90" wrapText="1"/>
    </xf>
    <xf numFmtId="0" fontId="32" fillId="2" borderId="1" xfId="2" applyNumberFormat="1" applyFont="1" applyFill="1" applyBorder="1" applyAlignment="1">
      <alignment horizontal="center" vertical="center" wrapText="1"/>
    </xf>
    <xf numFmtId="0" fontId="91" fillId="2" borderId="61" xfId="12" applyFont="1" applyFill="1" applyBorder="1" applyAlignment="1">
      <alignment horizontal="center" vertical="center" wrapText="1"/>
    </xf>
    <xf numFmtId="0" fontId="91" fillId="2" borderId="40" xfId="12" applyFont="1" applyFill="1" applyBorder="1" applyAlignment="1">
      <alignment horizontal="center" vertical="center" wrapText="1"/>
    </xf>
    <xf numFmtId="0" fontId="91" fillId="2" borderId="49" xfId="12" applyFont="1" applyFill="1" applyBorder="1" applyAlignment="1">
      <alignment horizontal="center" vertical="center" wrapText="1"/>
    </xf>
    <xf numFmtId="0" fontId="48" fillId="2" borderId="44" xfId="2" applyFont="1" applyFill="1" applyBorder="1" applyAlignment="1">
      <alignment horizontal="center" vertical="center" textRotation="90" wrapText="1"/>
    </xf>
    <xf numFmtId="0" fontId="48" fillId="2" borderId="41" xfId="2" applyFont="1" applyFill="1" applyBorder="1" applyAlignment="1">
      <alignment horizontal="center" vertical="center" textRotation="90" wrapText="1"/>
    </xf>
    <xf numFmtId="0" fontId="48" fillId="2" borderId="50" xfId="2" applyFont="1" applyFill="1" applyBorder="1" applyAlignment="1">
      <alignment horizontal="center" vertical="center" textRotation="90" wrapText="1"/>
    </xf>
    <xf numFmtId="0" fontId="48" fillId="2" borderId="44" xfId="2" applyFont="1" applyFill="1" applyBorder="1" applyAlignment="1">
      <alignment horizontal="center" vertical="center" wrapText="1"/>
    </xf>
    <xf numFmtId="0" fontId="48" fillId="2" borderId="41" xfId="2" applyFont="1" applyFill="1" applyBorder="1" applyAlignment="1">
      <alignment horizontal="center" vertical="center" wrapText="1"/>
    </xf>
    <xf numFmtId="0" fontId="48" fillId="2" borderId="50" xfId="2" applyFont="1" applyFill="1" applyBorder="1" applyAlignment="1">
      <alignment horizontal="center" vertical="center" wrapText="1"/>
    </xf>
    <xf numFmtId="0" fontId="18" fillId="2" borderId="44" xfId="12" applyFont="1" applyFill="1" applyBorder="1" applyAlignment="1">
      <alignment horizontal="center" vertical="center" textRotation="90" wrapText="1"/>
    </xf>
    <xf numFmtId="0" fontId="18" fillId="2" borderId="41" xfId="12" applyFont="1" applyFill="1" applyBorder="1" applyAlignment="1">
      <alignment horizontal="center" vertical="center" textRotation="90" wrapText="1"/>
    </xf>
    <xf numFmtId="0" fontId="18" fillId="2" borderId="50" xfId="12" applyFont="1" applyFill="1" applyBorder="1" applyAlignment="1">
      <alignment horizontal="center" vertical="center" textRotation="90" wrapText="1"/>
    </xf>
    <xf numFmtId="0" fontId="48" fillId="2" borderId="59" xfId="2" applyFont="1" applyFill="1" applyBorder="1" applyAlignment="1">
      <alignment horizontal="center" vertical="center" textRotation="90" wrapText="1"/>
    </xf>
    <xf numFmtId="0" fontId="48" fillId="2" borderId="82" xfId="2" applyFont="1" applyFill="1" applyBorder="1" applyAlignment="1">
      <alignment horizontal="center" vertical="center" textRotation="90" wrapText="1"/>
    </xf>
    <xf numFmtId="0" fontId="48" fillId="2" borderId="60" xfId="2" applyFont="1" applyFill="1" applyBorder="1" applyAlignment="1">
      <alignment horizontal="center" vertical="center" textRotation="90" wrapText="1"/>
    </xf>
    <xf numFmtId="0" fontId="48" fillId="2" borderId="42" xfId="2" applyFont="1" applyFill="1" applyBorder="1" applyAlignment="1">
      <alignment horizontal="center" vertical="center" textRotation="90" wrapText="1"/>
    </xf>
    <xf numFmtId="0" fontId="48" fillId="2" borderId="0" xfId="2" applyFont="1" applyFill="1" applyBorder="1" applyAlignment="1">
      <alignment horizontal="center" vertical="center" textRotation="90" wrapText="1"/>
    </xf>
    <xf numFmtId="0" fontId="48" fillId="2" borderId="43" xfId="2" applyFont="1" applyFill="1" applyBorder="1" applyAlignment="1">
      <alignment horizontal="center" vertical="center" textRotation="90" wrapText="1"/>
    </xf>
    <xf numFmtId="0" fontId="48" fillId="2" borderId="51" xfId="2" applyFont="1" applyFill="1" applyBorder="1" applyAlignment="1">
      <alignment horizontal="center" vertical="center" textRotation="90" wrapText="1"/>
    </xf>
    <xf numFmtId="0" fontId="48" fillId="2" borderId="1" xfId="2" applyFont="1" applyFill="1" applyBorder="1" applyAlignment="1">
      <alignment horizontal="center" vertical="center" textRotation="90" wrapText="1"/>
    </xf>
    <xf numFmtId="0" fontId="48" fillId="2" borderId="52" xfId="2" applyFont="1" applyFill="1" applyBorder="1" applyAlignment="1">
      <alignment horizontal="center" vertical="center" textRotation="90" wrapText="1"/>
    </xf>
    <xf numFmtId="2" fontId="60" fillId="2" borderId="0" xfId="2" applyNumberFormat="1" applyFont="1" applyFill="1" applyBorder="1" applyAlignment="1">
      <alignment horizontal="left"/>
    </xf>
    <xf numFmtId="2" fontId="18" fillId="2" borderId="26" xfId="166" applyNumberFormat="1" applyFont="1" applyFill="1" applyBorder="1" applyAlignment="1">
      <alignment horizontal="center" vertical="center" textRotation="90" wrapText="1"/>
    </xf>
    <xf numFmtId="0" fontId="48" fillId="2" borderId="44" xfId="2" applyFont="1" applyFill="1" applyBorder="1" applyAlignment="1">
      <alignment horizontal="center" vertical="center" textRotation="90"/>
    </xf>
    <xf numFmtId="0" fontId="48" fillId="2" borderId="41" xfId="2" applyFont="1" applyFill="1" applyBorder="1" applyAlignment="1">
      <alignment horizontal="center" vertical="center" textRotation="90"/>
    </xf>
    <xf numFmtId="0" fontId="48" fillId="2" borderId="50" xfId="2" applyFont="1" applyFill="1" applyBorder="1" applyAlignment="1">
      <alignment horizontal="center" vertical="center" textRotation="90"/>
    </xf>
    <xf numFmtId="0" fontId="48" fillId="2" borderId="56" xfId="2" applyFont="1" applyFill="1" applyBorder="1" applyAlignment="1">
      <alignment horizontal="center" vertical="center" wrapText="1"/>
    </xf>
    <xf numFmtId="0" fontId="48" fillId="2" borderId="55" xfId="2" applyFont="1" applyFill="1" applyBorder="1" applyAlignment="1">
      <alignment horizontal="center" vertical="center" wrapText="1"/>
    </xf>
    <xf numFmtId="0" fontId="48" fillId="2" borderId="57" xfId="2" applyFont="1" applyFill="1" applyBorder="1" applyAlignment="1">
      <alignment horizontal="center" vertical="center" wrapText="1"/>
    </xf>
    <xf numFmtId="0" fontId="48" fillId="2" borderId="104" xfId="2" applyFont="1" applyFill="1" applyBorder="1" applyAlignment="1">
      <alignment horizontal="center" vertical="center" textRotation="90" wrapText="1"/>
    </xf>
    <xf numFmtId="0" fontId="48" fillId="2" borderId="100" xfId="2" applyFont="1" applyFill="1" applyBorder="1" applyAlignment="1">
      <alignment horizontal="center" vertical="center" textRotation="90" wrapText="1"/>
    </xf>
    <xf numFmtId="0" fontId="48" fillId="2" borderId="102" xfId="2" applyFont="1" applyFill="1" applyBorder="1" applyAlignment="1">
      <alignment horizontal="center" vertical="center" textRotation="90" wrapText="1"/>
    </xf>
    <xf numFmtId="2" fontId="48" fillId="2" borderId="105" xfId="2" applyNumberFormat="1" applyFont="1" applyFill="1" applyBorder="1" applyAlignment="1">
      <alignment horizontal="center" vertical="center" textRotation="90" wrapText="1"/>
    </xf>
    <xf numFmtId="2" fontId="48" fillId="2" borderId="101" xfId="2" applyNumberFormat="1" applyFont="1" applyFill="1" applyBorder="1" applyAlignment="1">
      <alignment horizontal="center" vertical="center" textRotation="90" wrapText="1"/>
    </xf>
    <xf numFmtId="2" fontId="48" fillId="2" borderId="103" xfId="2" applyNumberFormat="1" applyFont="1" applyFill="1" applyBorder="1" applyAlignment="1">
      <alignment horizontal="center" vertical="center" textRotation="90" wrapText="1"/>
    </xf>
    <xf numFmtId="165" fontId="34" fillId="2" borderId="56" xfId="7" applyNumberFormat="1" applyFont="1" applyFill="1" applyBorder="1" applyAlignment="1">
      <alignment vertical="center" shrinkToFit="1"/>
    </xf>
    <xf numFmtId="165" fontId="34" fillId="2" borderId="55" xfId="7" applyNumberFormat="1" applyFont="1" applyFill="1" applyBorder="1" applyAlignment="1">
      <alignment vertical="center" shrinkToFit="1"/>
    </xf>
    <xf numFmtId="165" fontId="34" fillId="2" borderId="57" xfId="7" applyNumberFormat="1" applyFont="1" applyFill="1" applyBorder="1" applyAlignment="1">
      <alignment vertical="center" shrinkToFit="1"/>
    </xf>
    <xf numFmtId="165" fontId="34" fillId="2" borderId="26" xfId="7" applyNumberFormat="1" applyFont="1" applyFill="1" applyBorder="1" applyAlignment="1">
      <alignment vertical="center" shrinkToFit="1"/>
    </xf>
    <xf numFmtId="0" fontId="34" fillId="2" borderId="49" xfId="7" applyNumberFormat="1" applyFont="1" applyFill="1" applyBorder="1" applyAlignment="1">
      <alignment horizontal="center" vertical="center" shrinkToFit="1"/>
    </xf>
    <xf numFmtId="165" fontId="34" fillId="2" borderId="50" xfId="7" applyNumberFormat="1" applyFont="1" applyFill="1" applyBorder="1" applyAlignment="1">
      <alignment horizontal="center" vertical="center" shrinkToFit="1"/>
    </xf>
    <xf numFmtId="0" fontId="34" fillId="2" borderId="44" xfId="79" applyNumberFormat="1" applyFont="1" applyFill="1" applyBorder="1" applyAlignment="1">
      <alignment horizontal="center" vertical="center"/>
    </xf>
    <xf numFmtId="0" fontId="34" fillId="2" borderId="50" xfId="79" applyNumberFormat="1" applyFont="1" applyFill="1" applyBorder="1" applyAlignment="1">
      <alignment horizontal="center" vertical="center"/>
    </xf>
    <xf numFmtId="168" fontId="34" fillId="2" borderId="44" xfId="7" applyNumberFormat="1" applyFont="1" applyFill="1" applyBorder="1" applyAlignment="1">
      <alignment horizontal="center" vertical="center"/>
    </xf>
    <xf numFmtId="168" fontId="34" fillId="2" borderId="41" xfId="7" applyNumberFormat="1" applyFont="1" applyFill="1" applyBorder="1" applyAlignment="1">
      <alignment horizontal="center" vertical="center"/>
    </xf>
    <xf numFmtId="49" fontId="87" fillId="2" borderId="44" xfId="249" applyNumberFormat="1" applyFont="1" applyFill="1" applyBorder="1" applyAlignment="1">
      <alignment vertical="center" wrapText="1"/>
    </xf>
    <xf numFmtId="49" fontId="87" fillId="2" borderId="50" xfId="249" applyNumberFormat="1" applyFont="1" applyFill="1" applyBorder="1" applyAlignment="1">
      <alignment vertical="center" wrapText="1"/>
    </xf>
    <xf numFmtId="0" fontId="87" fillId="2" borderId="44" xfId="249" applyNumberFormat="1" applyFont="1" applyFill="1" applyBorder="1" applyAlignment="1">
      <alignment horizontal="center" vertical="center"/>
    </xf>
    <xf numFmtId="0" fontId="34" fillId="2" borderId="44" xfId="251" applyNumberFormat="1" applyFont="1" applyFill="1" applyBorder="1" applyAlignment="1">
      <alignment horizontal="center" vertical="center"/>
    </xf>
    <xf numFmtId="0" fontId="34" fillId="2" borderId="50" xfId="251" applyNumberFormat="1" applyFont="1" applyFill="1" applyBorder="1" applyAlignment="1">
      <alignment horizontal="center" vertical="center"/>
    </xf>
    <xf numFmtId="49" fontId="87" fillId="2" borderId="44" xfId="249" applyNumberFormat="1" applyFont="1" applyFill="1" applyBorder="1" applyAlignment="1">
      <alignment vertical="top" wrapText="1"/>
    </xf>
    <xf numFmtId="49" fontId="87" fillId="2" borderId="50" xfId="249" applyNumberFormat="1" applyFont="1" applyFill="1" applyBorder="1" applyAlignment="1">
      <alignment vertical="top" wrapText="1"/>
    </xf>
    <xf numFmtId="0" fontId="34" fillId="2" borderId="26" xfId="6" applyNumberFormat="1" applyFont="1" applyFill="1" applyBorder="1" applyAlignment="1">
      <alignment horizontal="center" vertical="center"/>
    </xf>
    <xf numFmtId="49" fontId="87" fillId="2" borderId="44" xfId="123" applyNumberFormat="1" applyFont="1" applyFill="1" applyBorder="1" applyAlignment="1">
      <alignment horizontal="left" vertical="center" wrapText="1"/>
    </xf>
    <xf numFmtId="49" fontId="87" fillId="2" borderId="50" xfId="123" applyNumberFormat="1" applyFont="1" applyFill="1" applyBorder="1" applyAlignment="1">
      <alignment horizontal="left" vertical="center" wrapText="1"/>
    </xf>
    <xf numFmtId="49" fontId="46" fillId="2" borderId="44" xfId="0" applyNumberFormat="1" applyFont="1" applyFill="1" applyBorder="1" applyAlignment="1">
      <alignment horizontal="left" vertical="center" wrapText="1"/>
    </xf>
    <xf numFmtId="49" fontId="46" fillId="2" borderId="50" xfId="0" applyNumberFormat="1" applyFont="1" applyFill="1" applyBorder="1" applyAlignment="1">
      <alignment horizontal="left" vertical="center" wrapText="1"/>
    </xf>
    <xf numFmtId="0" fontId="34" fillId="2" borderId="26" xfId="0" applyNumberFormat="1" applyFont="1" applyFill="1" applyBorder="1" applyAlignment="1">
      <alignment horizontal="center" vertical="center"/>
    </xf>
    <xf numFmtId="0" fontId="34" fillId="2" borderId="26" xfId="75" applyNumberFormat="1" applyFont="1" applyFill="1" applyBorder="1" applyAlignment="1">
      <alignment horizontal="center" vertical="center"/>
    </xf>
    <xf numFmtId="49" fontId="46" fillId="2" borderId="26" xfId="9" applyNumberFormat="1" applyFont="1" applyFill="1" applyBorder="1" applyAlignment="1">
      <alignment vertical="top" wrapText="1"/>
    </xf>
    <xf numFmtId="49" fontId="87" fillId="2" borderId="44" xfId="0" applyNumberFormat="1" applyFont="1" applyFill="1" applyBorder="1" applyAlignment="1">
      <alignment horizontal="left" vertical="center" wrapText="1"/>
    </xf>
    <xf numFmtId="49" fontId="87" fillId="2" borderId="41" xfId="0" applyNumberFormat="1" applyFont="1" applyFill="1" applyBorder="1" applyAlignment="1">
      <alignment horizontal="left" vertical="center" wrapText="1"/>
    </xf>
    <xf numFmtId="49" fontId="87" fillId="2" borderId="50" xfId="0" applyNumberFormat="1" applyFont="1" applyFill="1" applyBorder="1" applyAlignment="1">
      <alignment horizontal="left" vertical="center" wrapText="1"/>
    </xf>
    <xf numFmtId="49" fontId="46" fillId="2" borderId="26" xfId="0" applyNumberFormat="1" applyFont="1" applyFill="1" applyBorder="1" applyAlignment="1">
      <alignment horizontal="left" vertical="center" wrapText="1"/>
    </xf>
    <xf numFmtId="0" fontId="34" fillId="2" borderId="26" xfId="0" applyNumberFormat="1" applyFont="1" applyFill="1" applyBorder="1" applyAlignment="1">
      <alignment horizontal="center" vertical="center" wrapText="1"/>
    </xf>
    <xf numFmtId="1" fontId="34" fillId="2" borderId="41" xfId="0" applyNumberFormat="1" applyFont="1" applyFill="1" applyBorder="1" applyAlignment="1">
      <alignment horizontal="center" vertical="center" shrinkToFit="1"/>
    </xf>
    <xf numFmtId="2" fontId="34" fillId="2" borderId="22" xfId="0" applyNumberFormat="1" applyFont="1" applyFill="1" applyBorder="1" applyAlignment="1">
      <alignment horizontal="center" vertical="center" shrinkToFit="1"/>
    </xf>
    <xf numFmtId="2" fontId="46" fillId="2" borderId="59" xfId="79" applyNumberFormat="1" applyFont="1" applyFill="1" applyBorder="1" applyAlignment="1">
      <alignment horizontal="center" vertical="center" wrapText="1" shrinkToFit="1"/>
    </xf>
    <xf numFmtId="2" fontId="46" fillId="2" borderId="82" xfId="79" applyNumberFormat="1" applyFont="1" applyFill="1" applyBorder="1" applyAlignment="1">
      <alignment horizontal="center" vertical="center" wrapText="1" shrinkToFit="1"/>
    </xf>
    <xf numFmtId="2" fontId="46" fillId="2" borderId="60" xfId="79" applyNumberFormat="1" applyFont="1" applyFill="1" applyBorder="1" applyAlignment="1">
      <alignment horizontal="center" vertical="center" wrapText="1" shrinkToFit="1"/>
    </xf>
    <xf numFmtId="2" fontId="46" fillId="2" borderId="51" xfId="79" applyNumberFormat="1" applyFont="1" applyFill="1" applyBorder="1" applyAlignment="1">
      <alignment horizontal="center" vertical="center" wrapText="1" shrinkToFit="1"/>
    </xf>
    <xf numFmtId="2" fontId="46" fillId="2" borderId="1" xfId="79" applyNumberFormat="1" applyFont="1" applyFill="1" applyBorder="1" applyAlignment="1">
      <alignment horizontal="center" vertical="center" wrapText="1" shrinkToFit="1"/>
    </xf>
    <xf numFmtId="2" fontId="46" fillId="2" borderId="52" xfId="79" applyNumberFormat="1" applyFont="1" applyFill="1" applyBorder="1" applyAlignment="1">
      <alignment horizontal="center" vertical="center" wrapText="1" shrinkToFit="1"/>
    </xf>
    <xf numFmtId="2" fontId="46" fillId="2" borderId="59" xfId="79" applyNumberFormat="1" applyFont="1" applyFill="1" applyBorder="1" applyAlignment="1">
      <alignment horizontal="center" vertical="center" shrinkToFit="1"/>
    </xf>
    <xf numFmtId="2" fontId="46" fillId="2" borderId="82" xfId="79" applyNumberFormat="1" applyFont="1" applyFill="1" applyBorder="1" applyAlignment="1">
      <alignment horizontal="center" vertical="center" shrinkToFit="1"/>
    </xf>
    <xf numFmtId="2" fontId="46" fillId="2" borderId="60" xfId="79" applyNumberFormat="1" applyFont="1" applyFill="1" applyBorder="1" applyAlignment="1">
      <alignment horizontal="center" vertical="center" shrinkToFit="1"/>
    </xf>
    <xf numFmtId="2" fontId="46" fillId="2" borderId="51" xfId="79" applyNumberFormat="1" applyFont="1" applyFill="1" applyBorder="1" applyAlignment="1">
      <alignment horizontal="center" vertical="center" shrinkToFit="1"/>
    </xf>
    <xf numFmtId="2" fontId="46" fillId="2" borderId="1" xfId="79" applyNumberFormat="1" applyFont="1" applyFill="1" applyBorder="1" applyAlignment="1">
      <alignment horizontal="center" vertical="center" shrinkToFit="1"/>
    </xf>
    <xf numFmtId="2" fontId="46" fillId="2" borderId="52" xfId="79" applyNumberFormat="1" applyFont="1" applyFill="1" applyBorder="1" applyAlignment="1">
      <alignment horizontal="center" vertical="center" shrinkToFit="1"/>
    </xf>
    <xf numFmtId="2" fontId="46" fillId="2" borderId="58" xfId="0" applyNumberFormat="1" applyFont="1" applyFill="1" applyBorder="1" applyAlignment="1">
      <alignment horizontal="center" vertical="center" shrinkToFit="1"/>
    </xf>
    <xf numFmtId="2" fontId="46" fillId="2" borderId="26" xfId="0" applyNumberFormat="1" applyFont="1" applyFill="1" applyBorder="1" applyAlignment="1">
      <alignment horizontal="center" vertical="center" shrinkToFit="1"/>
    </xf>
    <xf numFmtId="2" fontId="34" fillId="2" borderId="56" xfId="0" applyNumberFormat="1" applyFont="1" applyFill="1" applyBorder="1" applyAlignment="1">
      <alignment horizontal="center" vertical="top" shrinkToFit="1"/>
    </xf>
    <xf numFmtId="2" fontId="34" fillId="2" borderId="55" xfId="0" applyNumberFormat="1" applyFont="1" applyFill="1" applyBorder="1" applyAlignment="1">
      <alignment horizontal="center" vertical="top" shrinkToFit="1"/>
    </xf>
    <xf numFmtId="2" fontId="34" fillId="2" borderId="57" xfId="0" applyNumberFormat="1" applyFont="1" applyFill="1" applyBorder="1" applyAlignment="1">
      <alignment horizontal="center" vertical="top" shrinkToFit="1"/>
    </xf>
    <xf numFmtId="0" fontId="103" fillId="2" borderId="61" xfId="0" applyFont="1" applyFill="1" applyBorder="1" applyAlignment="1">
      <alignment horizontal="center" vertical="center"/>
    </xf>
    <xf numFmtId="0" fontId="103" fillId="2" borderId="40" xfId="0" applyFont="1" applyFill="1" applyBorder="1" applyAlignment="1">
      <alignment horizontal="center" vertical="center"/>
    </xf>
    <xf numFmtId="0" fontId="103" fillId="2" borderId="49" xfId="0" applyFont="1" applyFill="1" applyBorder="1" applyAlignment="1">
      <alignment horizontal="center" vertical="center"/>
    </xf>
    <xf numFmtId="49" fontId="46" fillId="2" borderId="26" xfId="0" applyNumberFormat="1" applyFont="1" applyFill="1" applyBorder="1" applyAlignment="1">
      <alignment horizontal="center" vertical="center" wrapText="1"/>
    </xf>
    <xf numFmtId="0" fontId="33" fillId="2" borderId="44" xfId="0" applyNumberFormat="1" applyFont="1" applyFill="1" applyBorder="1" applyAlignment="1">
      <alignment horizontal="center" vertical="center"/>
    </xf>
    <xf numFmtId="0" fontId="33" fillId="2" borderId="41" xfId="0" applyNumberFormat="1" applyFont="1" applyFill="1" applyBorder="1" applyAlignment="1">
      <alignment horizontal="center" vertical="center"/>
    </xf>
    <xf numFmtId="0" fontId="33" fillId="2" borderId="50" xfId="0" applyNumberFormat="1" applyFont="1" applyFill="1" applyBorder="1" applyAlignment="1">
      <alignment horizontal="center" vertical="center"/>
    </xf>
    <xf numFmtId="1" fontId="46" fillId="2" borderId="26" xfId="0" applyNumberFormat="1" applyFont="1" applyFill="1" applyBorder="1" applyAlignment="1">
      <alignment horizontal="center" vertical="center" shrinkToFit="1"/>
    </xf>
    <xf numFmtId="2" fontId="46" fillId="2" borderId="56" xfId="0" applyNumberFormat="1" applyFont="1" applyFill="1" applyBorder="1" applyAlignment="1">
      <alignment horizontal="center" vertical="center" shrinkToFit="1"/>
    </xf>
    <xf numFmtId="165" fontId="94" fillId="2" borderId="26" xfId="7" applyNumberFormat="1" applyFont="1" applyFill="1" applyBorder="1" applyAlignment="1">
      <alignment vertical="center" shrinkToFit="1"/>
    </xf>
    <xf numFmtId="49" fontId="46" fillId="2" borderId="26" xfId="79" applyNumberFormat="1" applyFont="1" applyFill="1" applyBorder="1" applyAlignment="1">
      <alignment vertical="center" wrapText="1"/>
    </xf>
    <xf numFmtId="0" fontId="34" fillId="2" borderId="26" xfId="6" applyNumberFormat="1" applyFont="1" applyFill="1" applyBorder="1" applyAlignment="1">
      <alignment horizontal="center" vertical="center" wrapText="1"/>
    </xf>
    <xf numFmtId="168" fontId="34" fillId="2" borderId="50" xfId="7" applyNumberFormat="1" applyFont="1" applyFill="1" applyBorder="1" applyAlignment="1">
      <alignment horizontal="center" vertical="center"/>
    </xf>
    <xf numFmtId="165" fontId="94" fillId="2" borderId="50" xfId="7" applyNumberFormat="1" applyFont="1" applyFill="1" applyBorder="1" applyAlignment="1">
      <alignment horizontal="center" vertical="center" shrinkToFit="1"/>
    </xf>
    <xf numFmtId="0" fontId="34" fillId="2" borderId="26" xfId="7" applyNumberFormat="1" applyFont="1" applyFill="1" applyBorder="1" applyAlignment="1">
      <alignment horizontal="center" vertical="center" shrinkToFit="1"/>
    </xf>
    <xf numFmtId="2" fontId="34" fillId="0" borderId="44" xfId="7" applyNumberFormat="1" applyFont="1" applyFill="1" applyBorder="1" applyAlignment="1">
      <alignment horizontal="center" vertical="center" shrinkToFit="1"/>
    </xf>
    <xf numFmtId="2" fontId="34" fillId="0" borderId="50" xfId="7" applyNumberFormat="1" applyFont="1" applyFill="1" applyBorder="1" applyAlignment="1">
      <alignment horizontal="center" vertical="center" shrinkToFit="1"/>
    </xf>
    <xf numFmtId="165" fontId="34" fillId="0" borderId="26" xfId="7" applyNumberFormat="1" applyFont="1" applyBorder="1" applyAlignment="1">
      <alignment horizontal="center" vertical="center" shrinkToFit="1"/>
    </xf>
    <xf numFmtId="165" fontId="94" fillId="0" borderId="26" xfId="7" applyNumberFormat="1" applyFont="1" applyFill="1" applyBorder="1" applyAlignment="1">
      <alignment horizontal="center" vertical="center" shrinkToFit="1"/>
    </xf>
    <xf numFmtId="49" fontId="34" fillId="2" borderId="44" xfId="0" applyNumberFormat="1" applyFont="1" applyFill="1" applyBorder="1" applyAlignment="1">
      <alignment horizontal="left" vertical="center"/>
    </xf>
    <xf numFmtId="49" fontId="34" fillId="2" borderId="41" xfId="0" applyNumberFormat="1" applyFont="1" applyFill="1" applyBorder="1" applyAlignment="1">
      <alignment horizontal="left" vertical="center"/>
    </xf>
    <xf numFmtId="49" fontId="34" fillId="2" borderId="50" xfId="0" applyNumberFormat="1" applyFont="1" applyFill="1" applyBorder="1" applyAlignment="1">
      <alignment horizontal="left" vertical="center"/>
    </xf>
    <xf numFmtId="0" fontId="34" fillId="2" borderId="41" xfId="6" applyNumberFormat="1" applyFont="1" applyFill="1" applyBorder="1" applyAlignment="1">
      <alignment horizontal="center" vertical="center"/>
    </xf>
    <xf numFmtId="0" fontId="34" fillId="0" borderId="61" xfId="7" applyNumberFormat="1" applyFont="1" applyFill="1" applyBorder="1" applyAlignment="1">
      <alignment horizontal="center" vertical="center" shrinkToFit="1"/>
    </xf>
    <xf numFmtId="0" fontId="34" fillId="0" borderId="49" xfId="7" applyNumberFormat="1" applyFont="1" applyFill="1" applyBorder="1" applyAlignment="1">
      <alignment horizontal="center" vertical="center" shrinkToFit="1"/>
    </xf>
    <xf numFmtId="49" fontId="34" fillId="0" borderId="44" xfId="7" applyNumberFormat="1" applyFont="1" applyFill="1" applyBorder="1" applyAlignment="1">
      <alignment horizontal="center" vertical="center" wrapText="1"/>
    </xf>
    <xf numFmtId="49" fontId="34" fillId="0" borderId="50" xfId="7" applyNumberFormat="1" applyFont="1" applyFill="1" applyBorder="1" applyAlignment="1">
      <alignment horizontal="center" vertical="center" wrapText="1"/>
    </xf>
    <xf numFmtId="0" fontId="87" fillId="2" borderId="44" xfId="64" applyFont="1" applyFill="1" applyBorder="1" applyAlignment="1">
      <alignment horizontal="left" vertical="center" wrapText="1"/>
    </xf>
    <xf numFmtId="0" fontId="87" fillId="2" borderId="50" xfId="64" applyFont="1" applyFill="1" applyBorder="1" applyAlignment="1">
      <alignment horizontal="left" vertical="center" wrapText="1"/>
    </xf>
    <xf numFmtId="0" fontId="33" fillId="2" borderId="44" xfId="64" applyFont="1" applyFill="1" applyBorder="1" applyAlignment="1">
      <alignment horizontal="center" vertical="center"/>
    </xf>
    <xf numFmtId="0" fontId="33" fillId="2" borderId="50" xfId="64" applyFont="1" applyFill="1" applyBorder="1" applyAlignment="1">
      <alignment horizontal="center" vertical="center"/>
    </xf>
    <xf numFmtId="165" fontId="34" fillId="0" borderId="26" xfId="7" applyNumberFormat="1" applyFont="1" applyFill="1" applyBorder="1" applyAlignment="1">
      <alignment vertical="center" shrinkToFit="1"/>
    </xf>
    <xf numFmtId="49" fontId="87" fillId="2" borderId="44" xfId="194" applyNumberFormat="1" applyFont="1" applyFill="1" applyBorder="1" applyAlignment="1">
      <alignment horizontal="left" vertical="center" wrapText="1"/>
    </xf>
    <xf numFmtId="49" fontId="87" fillId="2" borderId="41" xfId="194" applyNumberFormat="1" applyFont="1" applyFill="1" applyBorder="1" applyAlignment="1">
      <alignment horizontal="left" vertical="center" wrapText="1"/>
    </xf>
    <xf numFmtId="49" fontId="87" fillId="2" borderId="50" xfId="194" applyNumberFormat="1" applyFont="1" applyFill="1" applyBorder="1" applyAlignment="1">
      <alignment horizontal="left" vertical="center" wrapText="1"/>
    </xf>
    <xf numFmtId="0" fontId="34" fillId="2" borderId="44" xfId="64" applyNumberFormat="1" applyFont="1" applyFill="1" applyBorder="1" applyAlignment="1">
      <alignment horizontal="center" vertical="center"/>
    </xf>
    <xf numFmtId="0" fontId="34" fillId="2" borderId="41" xfId="64" applyNumberFormat="1" applyFont="1" applyFill="1" applyBorder="1" applyAlignment="1">
      <alignment horizontal="center" vertical="center"/>
    </xf>
    <xf numFmtId="0" fontId="34" fillId="2" borderId="50" xfId="64" applyNumberFormat="1" applyFont="1" applyFill="1" applyBorder="1" applyAlignment="1">
      <alignment horizontal="center" vertical="center"/>
    </xf>
    <xf numFmtId="0" fontId="33" fillId="2" borderId="26" xfId="74" applyNumberFormat="1" applyFont="1" applyFill="1" applyBorder="1" applyAlignment="1">
      <alignment horizontal="center" vertical="center"/>
    </xf>
    <xf numFmtId="169" fontId="34" fillId="2" borderId="56" xfId="0" applyNumberFormat="1" applyFont="1" applyFill="1" applyBorder="1" applyAlignment="1">
      <alignment horizontal="center" vertical="center"/>
    </xf>
    <xf numFmtId="169" fontId="34" fillId="2" borderId="55" xfId="0" applyNumberFormat="1" applyFont="1" applyFill="1" applyBorder="1" applyAlignment="1">
      <alignment horizontal="center" vertical="center"/>
    </xf>
    <xf numFmtId="169" fontId="34" fillId="2" borderId="57" xfId="0" applyNumberFormat="1" applyFont="1" applyFill="1" applyBorder="1" applyAlignment="1">
      <alignment horizontal="center" vertical="center"/>
    </xf>
    <xf numFmtId="2" fontId="34" fillId="2" borderId="54" xfId="0" applyNumberFormat="1" applyFont="1" applyFill="1" applyBorder="1" applyAlignment="1">
      <alignment horizontal="center" vertical="center" wrapText="1" shrinkToFit="1"/>
    </xf>
    <xf numFmtId="2" fontId="96" fillId="2" borderId="26" xfId="0" applyNumberFormat="1" applyFont="1" applyFill="1" applyBorder="1" applyAlignment="1">
      <alignment horizontal="center" vertical="center" shrinkToFit="1"/>
    </xf>
    <xf numFmtId="2" fontId="96" fillId="2" borderId="26" xfId="0" applyNumberFormat="1" applyFont="1" applyFill="1" applyBorder="1" applyAlignment="1">
      <alignment horizontal="center" vertical="top" shrinkToFit="1"/>
    </xf>
    <xf numFmtId="168" fontId="46" fillId="2" borderId="26" xfId="234" applyNumberFormat="1" applyFont="1" applyFill="1" applyBorder="1" applyAlignment="1">
      <alignment horizontal="center" vertical="center" shrinkToFit="1"/>
    </xf>
    <xf numFmtId="0" fontId="34" fillId="2" borderId="26" xfId="9" applyNumberFormat="1" applyFont="1" applyFill="1" applyBorder="1" applyAlignment="1">
      <alignment horizontal="center" vertical="center"/>
    </xf>
    <xf numFmtId="49" fontId="87" fillId="2" borderId="26" xfId="193" applyNumberFormat="1" applyFont="1" applyFill="1" applyBorder="1" applyAlignment="1">
      <alignment horizontal="left" vertical="top" wrapText="1"/>
    </xf>
    <xf numFmtId="49" fontId="46" fillId="2" borderId="41" xfId="0" applyNumberFormat="1" applyFont="1" applyFill="1" applyBorder="1" applyAlignment="1">
      <alignment horizontal="left" vertical="center" wrapText="1"/>
    </xf>
    <xf numFmtId="0" fontId="33" fillId="2" borderId="44" xfId="74" applyNumberFormat="1" applyFont="1" applyFill="1" applyBorder="1" applyAlignment="1">
      <alignment horizontal="center" vertical="center"/>
    </xf>
    <xf numFmtId="0" fontId="33" fillId="2" borderId="41" xfId="74" applyNumberFormat="1" applyFont="1" applyFill="1" applyBorder="1" applyAlignment="1">
      <alignment horizontal="center" vertical="center"/>
    </xf>
    <xf numFmtId="0" fontId="33" fillId="2" borderId="50" xfId="74" applyNumberFormat="1" applyFont="1" applyFill="1" applyBorder="1" applyAlignment="1">
      <alignment horizontal="center" vertical="center"/>
    </xf>
    <xf numFmtId="170" fontId="34" fillId="2" borderId="56" xfId="0" applyNumberFormat="1" applyFont="1" applyFill="1" applyBorder="1" applyAlignment="1">
      <alignment horizontal="center" vertical="center" shrinkToFit="1"/>
    </xf>
    <xf numFmtId="170" fontId="34" fillId="2" borderId="55" xfId="0" applyNumberFormat="1" applyFont="1" applyFill="1" applyBorder="1" applyAlignment="1">
      <alignment horizontal="center" vertical="center" shrinkToFit="1"/>
    </xf>
    <xf numFmtId="170" fontId="34" fillId="2" borderId="57" xfId="0" applyNumberFormat="1" applyFont="1" applyFill="1" applyBorder="1" applyAlignment="1">
      <alignment horizontal="center" vertical="center" shrinkToFit="1"/>
    </xf>
    <xf numFmtId="0" fontId="34" fillId="2" borderId="99" xfId="0" applyNumberFormat="1" applyFont="1" applyFill="1" applyBorder="1" applyAlignment="1">
      <alignment horizontal="center" vertical="center" shrinkToFit="1"/>
    </xf>
    <xf numFmtId="0" fontId="34" fillId="2" borderId="96" xfId="0" applyNumberFormat="1" applyFont="1" applyFill="1" applyBorder="1" applyAlignment="1">
      <alignment horizontal="center" vertical="center" shrinkToFit="1"/>
    </xf>
    <xf numFmtId="49" fontId="87" fillId="2" borderId="44" xfId="193" applyNumberFormat="1" applyFont="1" applyFill="1" applyBorder="1" applyAlignment="1">
      <alignment horizontal="left" vertical="top" wrapText="1"/>
    </xf>
    <xf numFmtId="49" fontId="87" fillId="2" borderId="50" xfId="193" applyNumberFormat="1" applyFont="1" applyFill="1" applyBorder="1" applyAlignment="1">
      <alignment horizontal="left" vertical="top" wrapText="1"/>
    </xf>
    <xf numFmtId="0" fontId="42" fillId="2" borderId="1" xfId="77" applyFont="1" applyFill="1" applyBorder="1" applyAlignment="1">
      <alignment horizontal="left" vertical="center" wrapText="1"/>
    </xf>
    <xf numFmtId="0" fontId="34" fillId="2" borderId="61" xfId="79" applyNumberFormat="1" applyFont="1" applyFill="1" applyBorder="1" applyAlignment="1">
      <alignment horizontal="center" vertical="center" shrinkToFit="1"/>
    </xf>
    <xf numFmtId="0" fontId="34" fillId="2" borderId="49" xfId="79" applyNumberFormat="1" applyFont="1" applyFill="1" applyBorder="1" applyAlignment="1">
      <alignment horizontal="center" vertical="center" shrinkToFit="1"/>
    </xf>
    <xf numFmtId="49" fontId="34" fillId="2" borderId="44" xfId="79" applyNumberFormat="1" applyFont="1" applyFill="1" applyBorder="1" applyAlignment="1">
      <alignment horizontal="center" vertical="center" wrapText="1"/>
    </xf>
    <xf numFmtId="49" fontId="34" fillId="2" borderId="50" xfId="79" applyNumberFormat="1" applyFont="1" applyFill="1" applyBorder="1" applyAlignment="1">
      <alignment horizontal="center" vertical="center" wrapText="1"/>
    </xf>
    <xf numFmtId="0" fontId="34" fillId="2" borderId="44" xfId="4" applyNumberFormat="1" applyFont="1" applyFill="1" applyBorder="1" applyAlignment="1">
      <alignment horizontal="center" vertical="center"/>
    </xf>
    <xf numFmtId="0" fontId="34" fillId="2" borderId="50" xfId="4" applyNumberFormat="1" applyFont="1" applyFill="1" applyBorder="1" applyAlignment="1">
      <alignment horizontal="center" vertical="center"/>
    </xf>
    <xf numFmtId="165" fontId="34" fillId="2" borderId="26" xfId="79" applyNumberFormat="1" applyFont="1" applyFill="1" applyBorder="1" applyAlignment="1">
      <alignment horizontal="center" vertical="center" shrinkToFit="1"/>
    </xf>
    <xf numFmtId="165" fontId="94" fillId="2" borderId="26" xfId="79" applyNumberFormat="1" applyFont="1" applyFill="1" applyBorder="1" applyAlignment="1">
      <alignment horizontal="center" vertical="center" shrinkToFit="1"/>
    </xf>
    <xf numFmtId="2" fontId="34" fillId="2" borderId="44" xfId="79" applyNumberFormat="1" applyFont="1" applyFill="1" applyBorder="1" applyAlignment="1">
      <alignment horizontal="center" vertical="center" shrinkToFit="1"/>
    </xf>
    <xf numFmtId="2" fontId="34" fillId="2" borderId="50" xfId="79" applyNumberFormat="1" applyFont="1" applyFill="1" applyBorder="1" applyAlignment="1">
      <alignment horizontal="center" vertical="center" shrinkToFit="1"/>
    </xf>
    <xf numFmtId="0" fontId="33" fillId="2" borderId="26" xfId="74" applyNumberFormat="1" applyFont="1" applyFill="1" applyBorder="1" applyAlignment="1">
      <alignment horizontal="center" vertical="center" wrapText="1"/>
    </xf>
    <xf numFmtId="0" fontId="33" fillId="2" borderId="26" xfId="74" applyNumberFormat="1" applyFont="1" applyFill="1" applyBorder="1" applyAlignment="1">
      <alignment horizontal="left" vertical="center" wrapText="1"/>
    </xf>
    <xf numFmtId="49" fontId="46" fillId="2" borderId="26" xfId="0" applyNumberFormat="1" applyFont="1" applyFill="1" applyBorder="1" applyAlignment="1">
      <alignment vertical="center" wrapText="1"/>
    </xf>
    <xf numFmtId="0" fontId="34" fillId="2" borderId="26" xfId="74" applyNumberFormat="1" applyFont="1" applyFill="1" applyBorder="1" applyAlignment="1">
      <alignment horizontal="center" vertical="center"/>
    </xf>
    <xf numFmtId="2" fontId="94" fillId="2" borderId="84" xfId="79" applyNumberFormat="1" applyFont="1" applyFill="1" applyBorder="1" applyAlignment="1">
      <alignment horizontal="center" vertical="center" shrinkToFit="1"/>
    </xf>
    <xf numFmtId="2" fontId="94" fillId="2" borderId="85" xfId="79" applyNumberFormat="1" applyFont="1" applyFill="1" applyBorder="1" applyAlignment="1">
      <alignment horizontal="center" vertical="center" shrinkToFit="1"/>
    </xf>
    <xf numFmtId="2" fontId="34" fillId="2" borderId="26" xfId="79" applyNumberFormat="1" applyFont="1" applyFill="1" applyBorder="1" applyAlignment="1">
      <alignment horizontal="center" vertical="center" shrinkToFit="1"/>
    </xf>
    <xf numFmtId="2" fontId="94" fillId="2" borderId="26" xfId="79" applyNumberFormat="1" applyFont="1" applyFill="1" applyBorder="1" applyAlignment="1">
      <alignment horizontal="center" vertical="center" shrinkToFit="1"/>
    </xf>
    <xf numFmtId="0" fontId="99" fillId="2" borderId="26" xfId="69" applyFont="1" applyFill="1" applyBorder="1" applyAlignment="1">
      <alignment horizontal="left" vertical="center" wrapText="1"/>
    </xf>
    <xf numFmtId="2" fontId="97" fillId="2" borderId="56" xfId="0" applyNumberFormat="1" applyFont="1" applyFill="1" applyBorder="1" applyAlignment="1">
      <alignment horizontal="center" vertical="center" shrinkToFit="1"/>
    </xf>
    <xf numFmtId="2" fontId="97" fillId="2" borderId="55" xfId="0" applyNumberFormat="1" applyFont="1" applyFill="1" applyBorder="1" applyAlignment="1">
      <alignment horizontal="center" vertical="center" shrinkToFit="1"/>
    </xf>
    <xf numFmtId="2" fontId="97" fillId="2" borderId="57" xfId="0" applyNumberFormat="1" applyFont="1" applyFill="1" applyBorder="1" applyAlignment="1">
      <alignment horizontal="center" vertical="center" shrinkToFit="1"/>
    </xf>
    <xf numFmtId="2" fontId="34" fillId="2" borderId="56" xfId="0" applyNumberFormat="1" applyFont="1" applyFill="1" applyBorder="1" applyAlignment="1">
      <alignment horizontal="center" vertical="center"/>
    </xf>
    <xf numFmtId="2" fontId="34" fillId="2" borderId="55" xfId="0" applyNumberFormat="1" applyFont="1" applyFill="1" applyBorder="1" applyAlignment="1">
      <alignment horizontal="center" vertical="center"/>
    </xf>
    <xf numFmtId="2" fontId="34" fillId="2" borderId="57" xfId="0" applyNumberFormat="1" applyFont="1" applyFill="1" applyBorder="1" applyAlignment="1">
      <alignment horizontal="center" vertical="center"/>
    </xf>
    <xf numFmtId="49" fontId="34" fillId="2" borderId="26" xfId="0" applyNumberFormat="1" applyFont="1" applyFill="1" applyBorder="1" applyAlignment="1">
      <alignment vertical="center" wrapText="1"/>
    </xf>
    <xf numFmtId="49" fontId="103" fillId="2" borderId="26" xfId="0" applyNumberFormat="1" applyFont="1" applyFill="1" applyBorder="1" applyAlignment="1">
      <alignment horizontal="left" vertical="top" wrapText="1"/>
    </xf>
    <xf numFmtId="0" fontId="34" fillId="2" borderId="44" xfId="0" applyNumberFormat="1" applyFont="1" applyFill="1" applyBorder="1" applyAlignment="1">
      <alignment horizontal="center" vertical="center" shrinkToFit="1"/>
    </xf>
    <xf numFmtId="0" fontId="34" fillId="2" borderId="50" xfId="0" applyNumberFormat="1" applyFont="1" applyFill="1" applyBorder="1" applyAlignment="1">
      <alignment horizontal="center" vertical="center" shrinkToFit="1"/>
    </xf>
    <xf numFmtId="49" fontId="46" fillId="2" borderId="44" xfId="9" applyNumberFormat="1" applyFont="1" applyFill="1" applyBorder="1" applyAlignment="1">
      <alignment vertical="top" wrapText="1"/>
    </xf>
    <xf numFmtId="49" fontId="46" fillId="2" borderId="50" xfId="9" applyNumberFormat="1" applyFont="1" applyFill="1" applyBorder="1" applyAlignment="1">
      <alignment vertical="top" wrapText="1"/>
    </xf>
    <xf numFmtId="0" fontId="34" fillId="36" borderId="44" xfId="0" applyNumberFormat="1" applyFont="1" applyFill="1" applyBorder="1" applyAlignment="1">
      <alignment horizontal="center" vertical="center" shrinkToFit="1"/>
    </xf>
    <xf numFmtId="0" fontId="34" fillId="36" borderId="50" xfId="0" applyNumberFormat="1" applyFont="1" applyFill="1" applyBorder="1" applyAlignment="1">
      <alignment horizontal="center" vertical="center" shrinkToFit="1"/>
    </xf>
  </cellXfs>
  <cellStyles count="282">
    <cellStyle name="20% - Акцент1" xfId="13"/>
    <cellStyle name="20% - Акцент2" xfId="14"/>
    <cellStyle name="20% - Акцент3" xfId="15"/>
    <cellStyle name="20% - Акцент4" xfId="16"/>
    <cellStyle name="20% - Акцент5" xfId="17"/>
    <cellStyle name="20% - Акцент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Comma 2" xfId="31"/>
    <cellStyle name="Comma 2 2" xfId="32"/>
    <cellStyle name="Comma 3" xfId="33"/>
    <cellStyle name="Currency 2" xfId="34"/>
    <cellStyle name="Euro" xfId="35"/>
    <cellStyle name="Hyperlink 2" xfId="36"/>
    <cellStyle name="Normal 10" xfId="37"/>
    <cellStyle name="Normal 10 2" xfId="38"/>
    <cellStyle name="Normal 10 2 2 2" xfId="39"/>
    <cellStyle name="Normal 10 3" xfId="40"/>
    <cellStyle name="Normal 10 3 2" xfId="41"/>
    <cellStyle name="Normal 10 3 2 2" xfId="42"/>
    <cellStyle name="Normal 10 4" xfId="43"/>
    <cellStyle name="Normal 11" xfId="44"/>
    <cellStyle name="Normal 11 2" xfId="1"/>
    <cellStyle name="Normal 11 2 2" xfId="45"/>
    <cellStyle name="Normal 11 2 3" xfId="46"/>
    <cellStyle name="Normal 11 2 3 2" xfId="47"/>
    <cellStyle name="Normal 11 2 3 2 2" xfId="48"/>
    <cellStyle name="Normal 11 2 3 3" xfId="49"/>
    <cellStyle name="Normal 11 2 4" xfId="50"/>
    <cellStyle name="Normal 11 3" xfId="51"/>
    <cellStyle name="Normal 12" xfId="52"/>
    <cellStyle name="Normal 13" xfId="53"/>
    <cellStyle name="Normal 13 2" xfId="54"/>
    <cellStyle name="Normal 13 2 2" xfId="55"/>
    <cellStyle name="Normal 13 3" xfId="10"/>
    <cellStyle name="Normal 13 3 2" xfId="56"/>
    <cellStyle name="Normal 13 3 3" xfId="57"/>
    <cellStyle name="Normal 13 6" xfId="58"/>
    <cellStyle name="Normal 14" xfId="59"/>
    <cellStyle name="Normal 14 2" xfId="60"/>
    <cellStyle name="Normal 14 3" xfId="61"/>
    <cellStyle name="Normal 14 4" xfId="62"/>
    <cellStyle name="Normal 14 5" xfId="63"/>
    <cellStyle name="Normal 15" xfId="64"/>
    <cellStyle name="Normal 15 2" xfId="65"/>
    <cellStyle name="Normal 16" xfId="66"/>
    <cellStyle name="Normal 16 2" xfId="67"/>
    <cellStyle name="Normal 17" xfId="68"/>
    <cellStyle name="Normal 17 2" xfId="69"/>
    <cellStyle name="Normal 17 4" xfId="257"/>
    <cellStyle name="Normal 17 4 2" xfId="258"/>
    <cellStyle name="Normal 18" xfId="70"/>
    <cellStyle name="Normal 18 2" xfId="71"/>
    <cellStyle name="Normal 19" xfId="72"/>
    <cellStyle name="Normal 19 2" xfId="73"/>
    <cellStyle name="Normal 19 3" xfId="74"/>
    <cellStyle name="Normal 2" xfId="75"/>
    <cellStyle name="Normal 2 2" xfId="76"/>
    <cellStyle name="Normal 2 2 2" xfId="77"/>
    <cellStyle name="Normal 2 2 2 2" xfId="2"/>
    <cellStyle name="Normal 2 2 3" xfId="7"/>
    <cellStyle name="Normal 2 2 3 2" xfId="278"/>
    <cellStyle name="Normal 2 2_1-001-15 poliet" xfId="78"/>
    <cellStyle name="Normal 2 3" xfId="79"/>
    <cellStyle name="Normal 2 3 10" xfId="259"/>
    <cellStyle name="Normal 2 3 11" xfId="260"/>
    <cellStyle name="Normal 2 3 11 3" xfId="254"/>
    <cellStyle name="Normal 2 3 13" xfId="249"/>
    <cellStyle name="Normal 2 3 2" xfId="80"/>
    <cellStyle name="Normal 2 3 2 10" xfId="261"/>
    <cellStyle name="Normal 2 3 2 2" xfId="81"/>
    <cellStyle name="Normal 2 3 2 2 2" xfId="82"/>
    <cellStyle name="Normal 2 3 2 3" xfId="83"/>
    <cellStyle name="Normal 2 3 2 3 2" xfId="84"/>
    <cellStyle name="Normal 2 3 2 3 2 2" xfId="85"/>
    <cellStyle name="Normal 2 3 2 3 2 3" xfId="86"/>
    <cellStyle name="Normal 2 3 2 4" xfId="87"/>
    <cellStyle name="Normal 2 3 2 5" xfId="88"/>
    <cellStyle name="Normal 2 3 2 6" xfId="89"/>
    <cellStyle name="Normal 2 3 2 6 2" xfId="90"/>
    <cellStyle name="Normal 2 3 2 6 3" xfId="91"/>
    <cellStyle name="Normal 2 3 2 6 4" xfId="92"/>
    <cellStyle name="Normal 2 3 2 7" xfId="93"/>
    <cellStyle name="Normal 2 3 2 7 2" xfId="94"/>
    <cellStyle name="Normal 2 3 2 7 2 2" xfId="95"/>
    <cellStyle name="Normal 2 3 2 7 2 2 2" xfId="4"/>
    <cellStyle name="Normal 2 3 2 8" xfId="96"/>
    <cellStyle name="Normal 2 3 3" xfId="97"/>
    <cellStyle name="Normal 2 3 4" xfId="98"/>
    <cellStyle name="Normal 2 3 4 2" xfId="99"/>
    <cellStyle name="Normal 2 3 4 3" xfId="100"/>
    <cellStyle name="Normal 2 3 4 4" xfId="101"/>
    <cellStyle name="Normal 2 3 4 4 2" xfId="102"/>
    <cellStyle name="Normal 2 3 4 4 4 3" xfId="262"/>
    <cellStyle name="Normal 2 3 4 5" xfId="103"/>
    <cellStyle name="Normal 2 3 4 7" xfId="247"/>
    <cellStyle name="Normal 2 3 4 8" xfId="263"/>
    <cellStyle name="Normal 2 3 4 9" xfId="264"/>
    <cellStyle name="Normal 2 3 5" xfId="104"/>
    <cellStyle name="Normal 2 3 6" xfId="105"/>
    <cellStyle name="Normal 2 3 6 4" xfId="252"/>
    <cellStyle name="Normal 2 3 7" xfId="106"/>
    <cellStyle name="Normal 2 3 8" xfId="107"/>
    <cellStyle name="Normal 2 3 8 2" xfId="265"/>
    <cellStyle name="Normal 2 4" xfId="6"/>
    <cellStyle name="Normal 2 4 2" xfId="108"/>
    <cellStyle name="Normal 2 4 2 2" xfId="109"/>
    <cellStyle name="Normal 2 4 2 3" xfId="110"/>
    <cellStyle name="Normal 2 4 2 4" xfId="111"/>
    <cellStyle name="Normal 2 4 2 5" xfId="112"/>
    <cellStyle name="Normal 2 4 2 6" xfId="113"/>
    <cellStyle name="Normal 2 4 2 6 2" xfId="266"/>
    <cellStyle name="Normal 2 4 2 6 2 2" xfId="255"/>
    <cellStyle name="Normal 2 4 2 6 2 2 2" xfId="281"/>
    <cellStyle name="Normal 2 4 2 7" xfId="114"/>
    <cellStyle name="Normal 2 4 2 9" xfId="115"/>
    <cellStyle name="Normal 2 4 3" xfId="116"/>
    <cellStyle name="Normal 2 4 3 10" xfId="267"/>
    <cellStyle name="Normal 2 4 3 2" xfId="117"/>
    <cellStyle name="Normal 2 4 3 3" xfId="118"/>
    <cellStyle name="Normal 2 4 3 3 2" xfId="119"/>
    <cellStyle name="Normal 2 4 3 3 3" xfId="120"/>
    <cellStyle name="Normal 2 4 3 3 4" xfId="121"/>
    <cellStyle name="Normal 2 4 3 3 4 2" xfId="122"/>
    <cellStyle name="Normal 2 4 3 3 4 2 2" xfId="123"/>
    <cellStyle name="Normal 2 4 3 3 4 3" xfId="124"/>
    <cellStyle name="Normal 2 4 3 3 5" xfId="125"/>
    <cellStyle name="Normal 2 4 3 3 7" xfId="268"/>
    <cellStyle name="Normal 2 4 3 3 8" xfId="269"/>
    <cellStyle name="Normal 2 4 3 4" xfId="126"/>
    <cellStyle name="Normal 2 4 3 4 2" xfId="127"/>
    <cellStyle name="Normal 2 4 3 4 4" xfId="280"/>
    <cellStyle name="Normal 2 4 3 5" xfId="128"/>
    <cellStyle name="Normal 2 4 3 6" xfId="129"/>
    <cellStyle name="Normal 2 4 3 7" xfId="130"/>
    <cellStyle name="Normal 2 4 3 7 2" xfId="131"/>
    <cellStyle name="Normal 2 4 3 8" xfId="132"/>
    <cellStyle name="Normal 2 4 4" xfId="133"/>
    <cellStyle name="Normal 2 4 5" xfId="134"/>
    <cellStyle name="Normal 2 4 6" xfId="135"/>
    <cellStyle name="Normal 2 4 6 10" xfId="253"/>
    <cellStyle name="Normal 2 4 6 2" xfId="136"/>
    <cellStyle name="Normal 2 4 6 3" xfId="137"/>
    <cellStyle name="Normal 2 4 6 4" xfId="138"/>
    <cellStyle name="Normal 2 4 7" xfId="139"/>
    <cellStyle name="Normal 2 4 8" xfId="140"/>
    <cellStyle name="Normal 2 4_14-010-15" xfId="141"/>
    <cellStyle name="Normal 2 5" xfId="142"/>
    <cellStyle name="Normal 2 5 2" xfId="143"/>
    <cellStyle name="Normal 2 5 2 2" xfId="144"/>
    <cellStyle name="Normal 2 5 3" xfId="145"/>
    <cellStyle name="Normal 2 5 4" xfId="146"/>
    <cellStyle name="Normal 2 5 5" xfId="270"/>
    <cellStyle name="Normal 2 6" xfId="147"/>
    <cellStyle name="Normal 2 6 4" xfId="271"/>
    <cellStyle name="Normal 2 6 4 2" xfId="251"/>
    <cellStyle name="Normal 2 6 4 2 2" xfId="272"/>
    <cellStyle name="Normal 2 7" xfId="148"/>
    <cellStyle name="Normal 2_17-013-15 Ashtarak-kosh ZU" xfId="149"/>
    <cellStyle name="Normal 20" xfId="150"/>
    <cellStyle name="Normal 21" xfId="151"/>
    <cellStyle name="Normal 21 2" xfId="276"/>
    <cellStyle name="Normal 22" xfId="152"/>
    <cellStyle name="Normal 23" xfId="8"/>
    <cellStyle name="Normal 23 2" xfId="153"/>
    <cellStyle name="Normal 24" xfId="273"/>
    <cellStyle name="Normal 25" xfId="277"/>
    <cellStyle name="Normal 3" xfId="154"/>
    <cellStyle name="Normal 3 2" xfId="155"/>
    <cellStyle name="Normal 3 2 2" xfId="3"/>
    <cellStyle name="Normal 3 2 2 2" xfId="248"/>
    <cellStyle name="Normal 3 2 3" xfId="156"/>
    <cellStyle name="Normal 3 3" xfId="157"/>
    <cellStyle name="Normal 3 3 2" xfId="158"/>
    <cellStyle name="Normal 3 4" xfId="159"/>
    <cellStyle name="Normal 3 5" xfId="160"/>
    <cellStyle name="Normal 3_18-029-15" xfId="161"/>
    <cellStyle name="Normal 4" xfId="162"/>
    <cellStyle name="Normal 4 2" xfId="163"/>
    <cellStyle name="Normal 4 3" xfId="164"/>
    <cellStyle name="Normal 5" xfId="165"/>
    <cellStyle name="Normal 5 2" xfId="166"/>
    <cellStyle name="Normal 6" xfId="167"/>
    <cellStyle name="Normal 6 2" xfId="11"/>
    <cellStyle name="Normal 6 2 2" xfId="168"/>
    <cellStyle name="Normal 6 2 3" xfId="169"/>
    <cellStyle name="Normal 6 2 4" xfId="170"/>
    <cellStyle name="Normal 6 2 5" xfId="171"/>
    <cellStyle name="Normal 6 3" xfId="172"/>
    <cellStyle name="Normal 7" xfId="173"/>
    <cellStyle name="Normal 7 10" xfId="174"/>
    <cellStyle name="Normal 7 11" xfId="175"/>
    <cellStyle name="Normal 7 16" xfId="256"/>
    <cellStyle name="Normal 7 2" xfId="176"/>
    <cellStyle name="Normal 7 2 2" xfId="177"/>
    <cellStyle name="Normal 7 2 3" xfId="178"/>
    <cellStyle name="Normal 7 2 3 2" xfId="179"/>
    <cellStyle name="Normal 7 2 4" xfId="180"/>
    <cellStyle name="Normal 7 3" xfId="181"/>
    <cellStyle name="Normal 7 3 2" xfId="182"/>
    <cellStyle name="Normal 7 4" xfId="183"/>
    <cellStyle name="Normal 7 5" xfId="184"/>
    <cellStyle name="Normal 7 5 2" xfId="185"/>
    <cellStyle name="Normal 7 6" xfId="186"/>
    <cellStyle name="Normal 7 6 2" xfId="187"/>
    <cellStyle name="Normal 7 7" xfId="188"/>
    <cellStyle name="Normal 7 8" xfId="189"/>
    <cellStyle name="Normal 7 9" xfId="190"/>
    <cellStyle name="Normal 8" xfId="12"/>
    <cellStyle name="Normal 8 10" xfId="191"/>
    <cellStyle name="Normal 8 10 2 2" xfId="274"/>
    <cellStyle name="Normal 8 2" xfId="192"/>
    <cellStyle name="Normal 8 2 2" xfId="193"/>
    <cellStyle name="Normal 8 2 3" xfId="194"/>
    <cellStyle name="Normal 8 2 3 11" xfId="250"/>
    <cellStyle name="Normal 8 2 3 2" xfId="195"/>
    <cellStyle name="Normal 8 2 3 3" xfId="196"/>
    <cellStyle name="Normal 8 2 3 4" xfId="197"/>
    <cellStyle name="Normal 8 2 4" xfId="198"/>
    <cellStyle name="Normal 8 3" xfId="199"/>
    <cellStyle name="Normal 8 3 2" xfId="200"/>
    <cellStyle name="Normal 8 3 3" xfId="201"/>
    <cellStyle name="Normal 8 3 7" xfId="275"/>
    <cellStyle name="Normal 8 4" xfId="202"/>
    <cellStyle name="Normal 8 5" xfId="203"/>
    <cellStyle name="Normal 8 5 2" xfId="204"/>
    <cellStyle name="Normal 8 5 3" xfId="205"/>
    <cellStyle name="Normal 8 6" xfId="206"/>
    <cellStyle name="Normal 8 7" xfId="207"/>
    <cellStyle name="Normal 8 8" xfId="208"/>
    <cellStyle name="Normal 8 9" xfId="209"/>
    <cellStyle name="Normal 9" xfId="210"/>
    <cellStyle name="Normal 9 2" xfId="211"/>
    <cellStyle name="Normal 9 3" xfId="212"/>
    <cellStyle name="Normal 9 4" xfId="213"/>
    <cellStyle name="Normal 9 5" xfId="214"/>
    <cellStyle name="Normal 9 6" xfId="215"/>
    <cellStyle name="Normal_Artchut-2_plotina 3 2" xfId="5"/>
    <cellStyle name="Normal_Asfalt  2" xfId="279"/>
    <cellStyle name="Акцент1" xfId="216"/>
    <cellStyle name="Акцент2" xfId="217"/>
    <cellStyle name="Акцент3" xfId="218"/>
    <cellStyle name="Акцент4" xfId="219"/>
    <cellStyle name="Акцент5" xfId="220"/>
    <cellStyle name="Акцент6" xfId="221"/>
    <cellStyle name="Ввод " xfId="222"/>
    <cellStyle name="Вывод" xfId="223"/>
    <cellStyle name="Вычисление" xfId="224"/>
    <cellStyle name="Денежный 2" xfId="225"/>
    <cellStyle name="Заголовок 1" xfId="226"/>
    <cellStyle name="Заголовок 2" xfId="227"/>
    <cellStyle name="Заголовок 3" xfId="228"/>
    <cellStyle name="Заголовок 4" xfId="229"/>
    <cellStyle name="Итог" xfId="230"/>
    <cellStyle name="Контрольная ячейка" xfId="231"/>
    <cellStyle name="Название" xfId="232"/>
    <cellStyle name="Нейтральный" xfId="233"/>
    <cellStyle name="Обычный" xfId="0" builtinId="0"/>
    <cellStyle name="Обычный 2" xfId="9"/>
    <cellStyle name="Обычный 2 2" xfId="234"/>
    <cellStyle name="Обычный 2 2 2" xfId="235"/>
    <cellStyle name="Обычный 2 3" xfId="236"/>
    <cellStyle name="Обычный 3" xfId="237"/>
    <cellStyle name="Обычный 3 2" xfId="238"/>
    <cellStyle name="Плохой" xfId="239"/>
    <cellStyle name="Пояснение" xfId="240"/>
    <cellStyle name="Примечание" xfId="241"/>
    <cellStyle name="Примечание 2" xfId="242"/>
    <cellStyle name="Связанная ячейка" xfId="243"/>
    <cellStyle name="Текст предупреждения" xfId="244"/>
    <cellStyle name="Финансовый 2" xfId="245"/>
    <cellStyle name="Хороший" xfId="24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329;&#1398;&#1392;&#1377;&#1407;&#1377;&#1391;&#1377;&#1398;/&#1329;&#1402;&#1408;&#1387;&#1388;,,,,/&#1329;&#1404;&#1387;&#1398;&#1403;%20&#1407;&#1398;&#1377;&#13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 "/>
      <sheetName val="ԱՄՓՈՓ  "/>
      <sheetName val="ln 1"/>
      <sheetName val="ծավալ"/>
    </sheetNames>
    <sheetDataSet>
      <sheetData sheetId="0"/>
      <sheetData sheetId="1"/>
      <sheetData sheetId="2">
        <row r="9">
          <cell r="C9" t="str">
            <v xml:space="preserve">№ 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zoomScaleSheetLayoutView="100" workbookViewId="0">
      <selection activeCell="B14" sqref="B14:L14"/>
    </sheetView>
  </sheetViews>
  <sheetFormatPr defaultRowHeight="15"/>
  <cols>
    <col min="1" max="1" width="2.28515625" style="1" customWidth="1"/>
    <col min="2" max="5" width="9.140625" style="1"/>
    <col min="6" max="6" width="12" style="1" customWidth="1"/>
    <col min="7" max="7" width="9.7109375" style="1" customWidth="1"/>
    <col min="8" max="8" width="3.28515625" style="1" customWidth="1"/>
    <col min="9" max="9" width="9.7109375" style="1" bestFit="1" customWidth="1"/>
    <col min="10" max="10" width="9.140625" style="1"/>
    <col min="11" max="11" width="6.85546875" style="1" customWidth="1"/>
    <col min="12" max="12" width="6.28515625" style="1" customWidth="1"/>
    <col min="13" max="13" width="5.7109375" style="1" customWidth="1"/>
    <col min="14" max="16384" width="9.140625" style="1"/>
  </cols>
  <sheetData>
    <row r="1" spans="1:12">
      <c r="A1" s="781" t="str">
        <f>+'[1]ln 1'!C9</f>
        <v xml:space="preserve">№ </v>
      </c>
      <c r="B1" s="781"/>
      <c r="C1" s="781"/>
    </row>
    <row r="2" spans="1:12">
      <c r="A2" s="782"/>
      <c r="B2" s="782"/>
      <c r="C2" s="782"/>
      <c r="D2" s="2"/>
      <c r="E2" s="2"/>
      <c r="F2" s="2"/>
      <c r="G2" s="2"/>
      <c r="H2" s="2"/>
      <c r="I2" s="2"/>
      <c r="J2" s="2"/>
      <c r="K2" s="2"/>
      <c r="L2" s="2"/>
    </row>
    <row r="3" spans="1:12" ht="78" customHeight="1">
      <c r="B3" s="783" t="str">
        <f>+'1'!D1</f>
        <v xml:space="preserve">ԵՂԵԳԻՍ  ՀԱՄԱՅՆՔԻ ՔԱՐԱԳԼՈՒԽ ԳՅՈՒՂԻ ՋՐԱՄԱՏԱԿԱՐԱՐՈՒՄ  </v>
      </c>
      <c r="C3" s="783"/>
      <c r="D3" s="783"/>
      <c r="E3" s="783"/>
      <c r="F3" s="783"/>
      <c r="G3" s="783"/>
      <c r="H3" s="783"/>
      <c r="I3" s="783"/>
      <c r="J3" s="783"/>
      <c r="K3" s="783"/>
      <c r="L3" s="3"/>
    </row>
    <row r="4" spans="1:12"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</row>
    <row r="5" spans="1:12" ht="15.75">
      <c r="B5" s="784" t="s">
        <v>0</v>
      </c>
      <c r="C5" s="784"/>
      <c r="D5" s="784"/>
      <c r="E5" s="784"/>
      <c r="F5" s="784"/>
      <c r="G5" s="784"/>
      <c r="H5" s="784"/>
      <c r="I5" s="784"/>
      <c r="J5" s="784"/>
      <c r="K5" s="784"/>
      <c r="L5" s="784"/>
    </row>
    <row r="6" spans="1:12"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</row>
    <row r="7" spans="1:12" s="311" customFormat="1" ht="25.5" customHeight="1">
      <c r="B7" s="786" t="s">
        <v>4</v>
      </c>
      <c r="C7" s="786"/>
      <c r="D7" s="786"/>
      <c r="E7" s="786"/>
      <c r="F7" s="786"/>
      <c r="G7" s="786"/>
      <c r="H7" s="786"/>
      <c r="I7" s="786"/>
      <c r="J7" s="786"/>
      <c r="K7" s="786"/>
      <c r="L7" s="786"/>
    </row>
    <row r="8" spans="1:12" s="311" customFormat="1" ht="25.5" customHeight="1">
      <c r="B8" s="787" t="s">
        <v>1</v>
      </c>
      <c r="C8" s="787"/>
      <c r="D8" s="787"/>
      <c r="E8" s="787"/>
      <c r="F8" s="787"/>
      <c r="G8" s="787"/>
      <c r="H8" s="787"/>
      <c r="I8" s="787"/>
      <c r="J8" s="787"/>
      <c r="K8" s="787"/>
      <c r="L8" s="787"/>
    </row>
    <row r="9" spans="1:12" s="311" customFormat="1" ht="25.5" customHeight="1">
      <c r="B9" s="785" t="s">
        <v>2</v>
      </c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2" s="311" customFormat="1" ht="25.5" customHeight="1">
      <c r="B10" s="785" t="s">
        <v>3</v>
      </c>
      <c r="C10" s="785"/>
      <c r="D10" s="785"/>
      <c r="E10" s="785"/>
      <c r="F10" s="785"/>
      <c r="G10" s="785"/>
      <c r="H10" s="785"/>
      <c r="I10" s="785"/>
      <c r="J10" s="785"/>
      <c r="K10" s="785"/>
      <c r="L10" s="785"/>
    </row>
    <row r="11" spans="1:12" s="311" customFormat="1" ht="25.5" customHeight="1">
      <c r="B11" s="785" t="s">
        <v>4</v>
      </c>
      <c r="C11" s="785"/>
      <c r="D11" s="785"/>
      <c r="E11" s="785"/>
      <c r="F11" s="785"/>
      <c r="G11" s="785"/>
      <c r="H11" s="785"/>
      <c r="I11" s="785"/>
      <c r="J11" s="785"/>
      <c r="K11" s="785"/>
      <c r="L11" s="785"/>
    </row>
    <row r="12" spans="1:12" s="311" customFormat="1" ht="25.5" customHeight="1">
      <c r="B12" s="785" t="s">
        <v>5</v>
      </c>
      <c r="C12" s="785"/>
      <c r="D12" s="785"/>
      <c r="E12" s="785"/>
      <c r="F12" s="785"/>
      <c r="G12" s="785"/>
      <c r="H12" s="785"/>
      <c r="I12" s="785"/>
      <c r="J12" s="785"/>
      <c r="K12" s="785"/>
      <c r="L12" s="785"/>
    </row>
    <row r="13" spans="1:12" s="311" customFormat="1" ht="25.5" customHeight="1">
      <c r="B13" s="785" t="s">
        <v>6</v>
      </c>
      <c r="C13" s="785"/>
      <c r="D13" s="785"/>
      <c r="E13" s="785"/>
      <c r="F13" s="785"/>
      <c r="G13" s="785"/>
      <c r="H13" s="785"/>
      <c r="I13" s="785"/>
      <c r="J13" s="785"/>
      <c r="K13" s="785"/>
      <c r="L13" s="785"/>
    </row>
    <row r="14" spans="1:12" s="311" customFormat="1" ht="25.5" customHeight="1">
      <c r="B14" s="788" t="s">
        <v>343</v>
      </c>
      <c r="C14" s="788"/>
      <c r="D14" s="788"/>
      <c r="E14" s="788"/>
      <c r="F14" s="788"/>
      <c r="G14" s="788"/>
      <c r="H14" s="788"/>
      <c r="I14" s="788"/>
      <c r="J14" s="788"/>
      <c r="K14" s="788"/>
      <c r="L14" s="788"/>
    </row>
    <row r="15" spans="1:12" s="311" customFormat="1" ht="25.5" customHeight="1">
      <c r="B15" s="785" t="s">
        <v>7</v>
      </c>
      <c r="C15" s="785"/>
      <c r="D15" s="785"/>
      <c r="E15" s="785"/>
      <c r="F15" s="785"/>
      <c r="G15" s="785"/>
      <c r="H15" s="785"/>
      <c r="I15" s="785"/>
      <c r="J15" s="785"/>
      <c r="K15" s="785"/>
      <c r="L15" s="785"/>
    </row>
    <row r="16" spans="1:12" s="311" customFormat="1" ht="25.5" customHeight="1">
      <c r="B16" s="311" t="s">
        <v>8</v>
      </c>
      <c r="G16" s="311">
        <f>+'1'!D11</f>
        <v>252984</v>
      </c>
      <c r="H16" s="311" t="s">
        <v>9</v>
      </c>
    </row>
    <row r="17" spans="2:12" s="311" customFormat="1" ht="25.5" customHeight="1">
      <c r="B17" s="311" t="s">
        <v>10</v>
      </c>
      <c r="G17" s="4">
        <f>+'1'!J13</f>
        <v>2337</v>
      </c>
      <c r="H17" s="311" t="s">
        <v>11</v>
      </c>
    </row>
    <row r="18" spans="2:12" s="311" customFormat="1" ht="25.5" customHeight="1">
      <c r="B18" s="311" t="s">
        <v>12</v>
      </c>
      <c r="I18" s="4">
        <f>+'1'!Q13</f>
        <v>3222.81</v>
      </c>
      <c r="J18" s="311" t="s">
        <v>11</v>
      </c>
    </row>
    <row r="19" spans="2:12" s="311" customFormat="1" ht="25.5" customHeight="1">
      <c r="B19" s="785" t="s">
        <v>13</v>
      </c>
      <c r="C19" s="785"/>
      <c r="D19" s="785"/>
      <c r="E19" s="785"/>
      <c r="F19" s="785"/>
      <c r="G19" s="785"/>
      <c r="H19" s="785"/>
      <c r="I19" s="785"/>
      <c r="J19" s="785"/>
      <c r="K19" s="785"/>
      <c r="L19" s="785"/>
    </row>
    <row r="20" spans="2:12" s="311" customFormat="1" ht="25.5" customHeight="1">
      <c r="B20" s="785" t="s">
        <v>14</v>
      </c>
      <c r="C20" s="785"/>
      <c r="D20" s="785"/>
      <c r="E20" s="785"/>
      <c r="F20" s="785"/>
      <c r="G20" s="785"/>
      <c r="H20" s="785"/>
      <c r="I20" s="785"/>
      <c r="J20" s="785"/>
      <c r="K20" s="785"/>
      <c r="L20" s="785"/>
    </row>
    <row r="21" spans="2:12" s="311" customFormat="1" ht="25.5" customHeight="1">
      <c r="B21" s="311" t="s">
        <v>15</v>
      </c>
      <c r="F21" s="5">
        <f>(('1'!N11/1.02/1.05)-1)*100</f>
        <v>7.6100000000000279</v>
      </c>
      <c r="G21" s="311" t="s">
        <v>16</v>
      </c>
    </row>
    <row r="22" spans="2:12" s="311" customFormat="1" ht="25.5" customHeight="1">
      <c r="B22" s="785" t="s">
        <v>17</v>
      </c>
      <c r="C22" s="785"/>
      <c r="D22" s="785"/>
      <c r="E22" s="785"/>
      <c r="F22" s="785"/>
      <c r="G22" s="785"/>
      <c r="H22" s="785"/>
      <c r="I22" s="785"/>
      <c r="J22" s="785"/>
      <c r="K22" s="785"/>
      <c r="L22" s="785"/>
    </row>
    <row r="23" spans="2:12" s="311" customFormat="1" ht="25.5" customHeight="1">
      <c r="B23" s="785" t="s">
        <v>18</v>
      </c>
      <c r="C23" s="785"/>
      <c r="D23" s="785"/>
      <c r="E23" s="785"/>
      <c r="F23" s="785"/>
      <c r="G23" s="785"/>
      <c r="H23" s="785"/>
      <c r="I23" s="785"/>
      <c r="J23" s="785"/>
      <c r="K23" s="785"/>
      <c r="L23" s="785"/>
    </row>
    <row r="24" spans="2:12" s="311" customFormat="1" ht="25.5" customHeight="1">
      <c r="B24" s="785" t="s">
        <v>19</v>
      </c>
      <c r="C24" s="785"/>
      <c r="D24" s="785"/>
      <c r="E24" s="785"/>
      <c r="F24" s="785"/>
      <c r="G24" s="785"/>
      <c r="H24" s="785"/>
      <c r="I24" s="785"/>
      <c r="J24" s="785"/>
      <c r="K24" s="785"/>
      <c r="L24" s="785"/>
    </row>
    <row r="25" spans="2:12" ht="22.5" customHeight="1">
      <c r="B25" s="789"/>
      <c r="C25" s="789"/>
      <c r="D25" s="789"/>
      <c r="E25" s="789"/>
      <c r="F25" s="789"/>
      <c r="G25" s="789"/>
      <c r="H25" s="789"/>
      <c r="I25" s="789"/>
      <c r="J25" s="789"/>
      <c r="K25" s="789"/>
      <c r="L25" s="789"/>
    </row>
    <row r="26" spans="2:12">
      <c r="B26" s="780"/>
      <c r="C26" s="780"/>
      <c r="D26" s="780"/>
      <c r="E26" s="780"/>
      <c r="F26" s="780"/>
      <c r="G26" s="780"/>
      <c r="H26" s="780"/>
      <c r="I26" s="780"/>
      <c r="J26" s="780"/>
      <c r="K26" s="780"/>
      <c r="L26" s="780"/>
    </row>
    <row r="27" spans="2:12">
      <c r="B27" s="780"/>
      <c r="C27" s="780"/>
      <c r="D27" s="780"/>
      <c r="E27" s="780"/>
      <c r="F27" s="780"/>
      <c r="G27" s="780"/>
      <c r="H27" s="780"/>
      <c r="I27" s="780"/>
      <c r="J27" s="780"/>
      <c r="K27" s="780"/>
      <c r="L27" s="780"/>
    </row>
    <row r="28" spans="2:12">
      <c r="B28" s="790" t="s">
        <v>145</v>
      </c>
      <c r="C28" s="790"/>
      <c r="D28" s="790"/>
      <c r="E28" s="790"/>
      <c r="F28" s="790"/>
      <c r="G28" s="790"/>
      <c r="H28" s="790"/>
      <c r="I28" s="790"/>
      <c r="J28" s="790"/>
      <c r="K28" s="790"/>
      <c r="L28" s="790"/>
    </row>
    <row r="29" spans="2:12">
      <c r="B29" s="780"/>
      <c r="C29" s="780"/>
      <c r="D29" s="780"/>
      <c r="E29" s="780"/>
      <c r="F29" s="780"/>
      <c r="G29" s="780"/>
      <c r="H29" s="780"/>
      <c r="I29" s="780"/>
      <c r="J29" s="780"/>
      <c r="K29" s="780"/>
      <c r="L29" s="780"/>
    </row>
  </sheetData>
  <mergeCells count="25">
    <mergeCell ref="B29:L29"/>
    <mergeCell ref="B23:L23"/>
    <mergeCell ref="B24:L24"/>
    <mergeCell ref="B25:L25"/>
    <mergeCell ref="B26:L26"/>
    <mergeCell ref="B27:L27"/>
    <mergeCell ref="B28:L28"/>
    <mergeCell ref="B22:L22"/>
    <mergeCell ref="B7:L7"/>
    <mergeCell ref="B8:L8"/>
    <mergeCell ref="B9:L9"/>
    <mergeCell ref="B10:L10"/>
    <mergeCell ref="B11:L11"/>
    <mergeCell ref="B12:L12"/>
    <mergeCell ref="B13:L13"/>
    <mergeCell ref="B14:L14"/>
    <mergeCell ref="B15:L15"/>
    <mergeCell ref="B19:L19"/>
    <mergeCell ref="B20:L20"/>
    <mergeCell ref="B6:L6"/>
    <mergeCell ref="A1:C1"/>
    <mergeCell ref="A2:C2"/>
    <mergeCell ref="B3:K3"/>
    <mergeCell ref="B4:L4"/>
    <mergeCell ref="B5:L5"/>
  </mergeCells>
  <printOptions horizontalCentered="1"/>
  <pageMargins left="0" right="0" top="0.2" bottom="0.2" header="0.31496062992126" footer="0.3149606299212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79"/>
  <sheetViews>
    <sheetView view="pageBreakPreview" topLeftCell="A12" zoomScaleSheetLayoutView="100" workbookViewId="0">
      <selection activeCell="B41" sqref="B41"/>
    </sheetView>
  </sheetViews>
  <sheetFormatPr defaultRowHeight="15.75"/>
  <cols>
    <col min="1" max="1" width="5.5703125" style="8" customWidth="1"/>
    <col min="2" max="2" width="11.28515625" style="8" customWidth="1"/>
    <col min="3" max="3" width="54.28515625" style="8" customWidth="1"/>
    <col min="4" max="4" width="12.85546875" style="8" customWidth="1"/>
    <col min="5" max="5" width="12.85546875" style="113" customWidth="1"/>
    <col min="6" max="7" width="12.85546875" style="8" customWidth="1"/>
    <col min="8" max="8" width="14.42578125" style="8" customWidth="1"/>
    <col min="9" max="9" width="14.140625" style="8" customWidth="1"/>
    <col min="10" max="10" width="10.7109375" style="8" bestFit="1" customWidth="1"/>
    <col min="11" max="236" width="9.140625" style="8"/>
    <col min="237" max="237" width="4.42578125" style="8" customWidth="1"/>
    <col min="238" max="238" width="17.85546875" style="8" customWidth="1"/>
    <col min="239" max="239" width="39.28515625" style="8" customWidth="1"/>
    <col min="240" max="240" width="16.5703125" style="8" customWidth="1"/>
    <col min="241" max="241" width="17.5703125" style="8" customWidth="1"/>
    <col min="242" max="242" width="16.140625" style="8" customWidth="1"/>
    <col min="243" max="243" width="14.28515625" style="8" customWidth="1"/>
    <col min="244" max="244" width="21" style="8" customWidth="1"/>
    <col min="245" max="245" width="12.140625" style="8" customWidth="1"/>
    <col min="246" max="246" width="10.7109375" style="8" bestFit="1" customWidth="1"/>
    <col min="247" max="492" width="9.140625" style="8"/>
    <col min="493" max="493" width="4.42578125" style="8" customWidth="1"/>
    <col min="494" max="494" width="17.85546875" style="8" customWidth="1"/>
    <col min="495" max="495" width="39.28515625" style="8" customWidth="1"/>
    <col min="496" max="496" width="16.5703125" style="8" customWidth="1"/>
    <col min="497" max="497" width="17.5703125" style="8" customWidth="1"/>
    <col min="498" max="498" width="16.140625" style="8" customWidth="1"/>
    <col min="499" max="499" width="14.28515625" style="8" customWidth="1"/>
    <col min="500" max="500" width="21" style="8" customWidth="1"/>
    <col min="501" max="501" width="12.140625" style="8" customWidth="1"/>
    <col min="502" max="502" width="10.7109375" style="8" bestFit="1" customWidth="1"/>
    <col min="503" max="748" width="9.140625" style="8"/>
    <col min="749" max="749" width="4.42578125" style="8" customWidth="1"/>
    <col min="750" max="750" width="17.85546875" style="8" customWidth="1"/>
    <col min="751" max="751" width="39.28515625" style="8" customWidth="1"/>
    <col min="752" max="752" width="16.5703125" style="8" customWidth="1"/>
    <col min="753" max="753" width="17.5703125" style="8" customWidth="1"/>
    <col min="754" max="754" width="16.140625" style="8" customWidth="1"/>
    <col min="755" max="755" width="14.28515625" style="8" customWidth="1"/>
    <col min="756" max="756" width="21" style="8" customWidth="1"/>
    <col min="757" max="757" width="12.140625" style="8" customWidth="1"/>
    <col min="758" max="758" width="10.7109375" style="8" bestFit="1" customWidth="1"/>
    <col min="759" max="1004" width="9.140625" style="8"/>
    <col min="1005" max="1005" width="4.42578125" style="8" customWidth="1"/>
    <col min="1006" max="1006" width="17.85546875" style="8" customWidth="1"/>
    <col min="1007" max="1007" width="39.28515625" style="8" customWidth="1"/>
    <col min="1008" max="1008" width="16.5703125" style="8" customWidth="1"/>
    <col min="1009" max="1009" width="17.5703125" style="8" customWidth="1"/>
    <col min="1010" max="1010" width="16.140625" style="8" customWidth="1"/>
    <col min="1011" max="1011" width="14.28515625" style="8" customWidth="1"/>
    <col min="1012" max="1012" width="21" style="8" customWidth="1"/>
    <col min="1013" max="1013" width="12.140625" style="8" customWidth="1"/>
    <col min="1014" max="1014" width="10.7109375" style="8" bestFit="1" customWidth="1"/>
    <col min="1015" max="1260" width="9.140625" style="8"/>
    <col min="1261" max="1261" width="4.42578125" style="8" customWidth="1"/>
    <col min="1262" max="1262" width="17.85546875" style="8" customWidth="1"/>
    <col min="1263" max="1263" width="39.28515625" style="8" customWidth="1"/>
    <col min="1264" max="1264" width="16.5703125" style="8" customWidth="1"/>
    <col min="1265" max="1265" width="17.5703125" style="8" customWidth="1"/>
    <col min="1266" max="1266" width="16.140625" style="8" customWidth="1"/>
    <col min="1267" max="1267" width="14.28515625" style="8" customWidth="1"/>
    <col min="1268" max="1268" width="21" style="8" customWidth="1"/>
    <col min="1269" max="1269" width="12.140625" style="8" customWidth="1"/>
    <col min="1270" max="1270" width="10.7109375" style="8" bestFit="1" customWidth="1"/>
    <col min="1271" max="1516" width="9.140625" style="8"/>
    <col min="1517" max="1517" width="4.42578125" style="8" customWidth="1"/>
    <col min="1518" max="1518" width="17.85546875" style="8" customWidth="1"/>
    <col min="1519" max="1519" width="39.28515625" style="8" customWidth="1"/>
    <col min="1520" max="1520" width="16.5703125" style="8" customWidth="1"/>
    <col min="1521" max="1521" width="17.5703125" style="8" customWidth="1"/>
    <col min="1522" max="1522" width="16.140625" style="8" customWidth="1"/>
    <col min="1523" max="1523" width="14.28515625" style="8" customWidth="1"/>
    <col min="1524" max="1524" width="21" style="8" customWidth="1"/>
    <col min="1525" max="1525" width="12.140625" style="8" customWidth="1"/>
    <col min="1526" max="1526" width="10.7109375" style="8" bestFit="1" customWidth="1"/>
    <col min="1527" max="1772" width="9.140625" style="8"/>
    <col min="1773" max="1773" width="4.42578125" style="8" customWidth="1"/>
    <col min="1774" max="1774" width="17.85546875" style="8" customWidth="1"/>
    <col min="1775" max="1775" width="39.28515625" style="8" customWidth="1"/>
    <col min="1776" max="1776" width="16.5703125" style="8" customWidth="1"/>
    <col min="1777" max="1777" width="17.5703125" style="8" customWidth="1"/>
    <col min="1778" max="1778" width="16.140625" style="8" customWidth="1"/>
    <col min="1779" max="1779" width="14.28515625" style="8" customWidth="1"/>
    <col min="1780" max="1780" width="21" style="8" customWidth="1"/>
    <col min="1781" max="1781" width="12.140625" style="8" customWidth="1"/>
    <col min="1782" max="1782" width="10.7109375" style="8" bestFit="1" customWidth="1"/>
    <col min="1783" max="2028" width="9.140625" style="8"/>
    <col min="2029" max="2029" width="4.42578125" style="8" customWidth="1"/>
    <col min="2030" max="2030" width="17.85546875" style="8" customWidth="1"/>
    <col min="2031" max="2031" width="39.28515625" style="8" customWidth="1"/>
    <col min="2032" max="2032" width="16.5703125" style="8" customWidth="1"/>
    <col min="2033" max="2033" width="17.5703125" style="8" customWidth="1"/>
    <col min="2034" max="2034" width="16.140625" style="8" customWidth="1"/>
    <col min="2035" max="2035" width="14.28515625" style="8" customWidth="1"/>
    <col min="2036" max="2036" width="21" style="8" customWidth="1"/>
    <col min="2037" max="2037" width="12.140625" style="8" customWidth="1"/>
    <col min="2038" max="2038" width="10.7109375" style="8" bestFit="1" customWidth="1"/>
    <col min="2039" max="2284" width="9.140625" style="8"/>
    <col min="2285" max="2285" width="4.42578125" style="8" customWidth="1"/>
    <col min="2286" max="2286" width="17.85546875" style="8" customWidth="1"/>
    <col min="2287" max="2287" width="39.28515625" style="8" customWidth="1"/>
    <col min="2288" max="2288" width="16.5703125" style="8" customWidth="1"/>
    <col min="2289" max="2289" width="17.5703125" style="8" customWidth="1"/>
    <col min="2290" max="2290" width="16.140625" style="8" customWidth="1"/>
    <col min="2291" max="2291" width="14.28515625" style="8" customWidth="1"/>
    <col min="2292" max="2292" width="21" style="8" customWidth="1"/>
    <col min="2293" max="2293" width="12.140625" style="8" customWidth="1"/>
    <col min="2294" max="2294" width="10.7109375" style="8" bestFit="1" customWidth="1"/>
    <col min="2295" max="2540" width="9.140625" style="8"/>
    <col min="2541" max="2541" width="4.42578125" style="8" customWidth="1"/>
    <col min="2542" max="2542" width="17.85546875" style="8" customWidth="1"/>
    <col min="2543" max="2543" width="39.28515625" style="8" customWidth="1"/>
    <col min="2544" max="2544" width="16.5703125" style="8" customWidth="1"/>
    <col min="2545" max="2545" width="17.5703125" style="8" customWidth="1"/>
    <col min="2546" max="2546" width="16.140625" style="8" customWidth="1"/>
    <col min="2547" max="2547" width="14.28515625" style="8" customWidth="1"/>
    <col min="2548" max="2548" width="21" style="8" customWidth="1"/>
    <col min="2549" max="2549" width="12.140625" style="8" customWidth="1"/>
    <col min="2550" max="2550" width="10.7109375" style="8" bestFit="1" customWidth="1"/>
    <col min="2551" max="2796" width="9.140625" style="8"/>
    <col min="2797" max="2797" width="4.42578125" style="8" customWidth="1"/>
    <col min="2798" max="2798" width="17.85546875" style="8" customWidth="1"/>
    <col min="2799" max="2799" width="39.28515625" style="8" customWidth="1"/>
    <col min="2800" max="2800" width="16.5703125" style="8" customWidth="1"/>
    <col min="2801" max="2801" width="17.5703125" style="8" customWidth="1"/>
    <col min="2802" max="2802" width="16.140625" style="8" customWidth="1"/>
    <col min="2803" max="2803" width="14.28515625" style="8" customWidth="1"/>
    <col min="2804" max="2804" width="21" style="8" customWidth="1"/>
    <col min="2805" max="2805" width="12.140625" style="8" customWidth="1"/>
    <col min="2806" max="2806" width="10.7109375" style="8" bestFit="1" customWidth="1"/>
    <col min="2807" max="3052" width="9.140625" style="8"/>
    <col min="3053" max="3053" width="4.42578125" style="8" customWidth="1"/>
    <col min="3054" max="3054" width="17.85546875" style="8" customWidth="1"/>
    <col min="3055" max="3055" width="39.28515625" style="8" customWidth="1"/>
    <col min="3056" max="3056" width="16.5703125" style="8" customWidth="1"/>
    <col min="3057" max="3057" width="17.5703125" style="8" customWidth="1"/>
    <col min="3058" max="3058" width="16.140625" style="8" customWidth="1"/>
    <col min="3059" max="3059" width="14.28515625" style="8" customWidth="1"/>
    <col min="3060" max="3060" width="21" style="8" customWidth="1"/>
    <col min="3061" max="3061" width="12.140625" style="8" customWidth="1"/>
    <col min="3062" max="3062" width="10.7109375" style="8" bestFit="1" customWidth="1"/>
    <col min="3063" max="3308" width="9.140625" style="8"/>
    <col min="3309" max="3309" width="4.42578125" style="8" customWidth="1"/>
    <col min="3310" max="3310" width="17.85546875" style="8" customWidth="1"/>
    <col min="3311" max="3311" width="39.28515625" style="8" customWidth="1"/>
    <col min="3312" max="3312" width="16.5703125" style="8" customWidth="1"/>
    <col min="3313" max="3313" width="17.5703125" style="8" customWidth="1"/>
    <col min="3314" max="3314" width="16.140625" style="8" customWidth="1"/>
    <col min="3315" max="3315" width="14.28515625" style="8" customWidth="1"/>
    <col min="3316" max="3316" width="21" style="8" customWidth="1"/>
    <col min="3317" max="3317" width="12.140625" style="8" customWidth="1"/>
    <col min="3318" max="3318" width="10.7109375" style="8" bestFit="1" customWidth="1"/>
    <col min="3319" max="3564" width="9.140625" style="8"/>
    <col min="3565" max="3565" width="4.42578125" style="8" customWidth="1"/>
    <col min="3566" max="3566" width="17.85546875" style="8" customWidth="1"/>
    <col min="3567" max="3567" width="39.28515625" style="8" customWidth="1"/>
    <col min="3568" max="3568" width="16.5703125" style="8" customWidth="1"/>
    <col min="3569" max="3569" width="17.5703125" style="8" customWidth="1"/>
    <col min="3570" max="3570" width="16.140625" style="8" customWidth="1"/>
    <col min="3571" max="3571" width="14.28515625" style="8" customWidth="1"/>
    <col min="3572" max="3572" width="21" style="8" customWidth="1"/>
    <col min="3573" max="3573" width="12.140625" style="8" customWidth="1"/>
    <col min="3574" max="3574" width="10.7109375" style="8" bestFit="1" customWidth="1"/>
    <col min="3575" max="3820" width="9.140625" style="8"/>
    <col min="3821" max="3821" width="4.42578125" style="8" customWidth="1"/>
    <col min="3822" max="3822" width="17.85546875" style="8" customWidth="1"/>
    <col min="3823" max="3823" width="39.28515625" style="8" customWidth="1"/>
    <col min="3824" max="3824" width="16.5703125" style="8" customWidth="1"/>
    <col min="3825" max="3825" width="17.5703125" style="8" customWidth="1"/>
    <col min="3826" max="3826" width="16.140625" style="8" customWidth="1"/>
    <col min="3827" max="3827" width="14.28515625" style="8" customWidth="1"/>
    <col min="3828" max="3828" width="21" style="8" customWidth="1"/>
    <col min="3829" max="3829" width="12.140625" style="8" customWidth="1"/>
    <col min="3830" max="3830" width="10.7109375" style="8" bestFit="1" customWidth="1"/>
    <col min="3831" max="4076" width="9.140625" style="8"/>
    <col min="4077" max="4077" width="4.42578125" style="8" customWidth="1"/>
    <col min="4078" max="4078" width="17.85546875" style="8" customWidth="1"/>
    <col min="4079" max="4079" width="39.28515625" style="8" customWidth="1"/>
    <col min="4080" max="4080" width="16.5703125" style="8" customWidth="1"/>
    <col min="4081" max="4081" width="17.5703125" style="8" customWidth="1"/>
    <col min="4082" max="4082" width="16.140625" style="8" customWidth="1"/>
    <col min="4083" max="4083" width="14.28515625" style="8" customWidth="1"/>
    <col min="4084" max="4084" width="21" style="8" customWidth="1"/>
    <col min="4085" max="4085" width="12.140625" style="8" customWidth="1"/>
    <col min="4086" max="4086" width="10.7109375" style="8" bestFit="1" customWidth="1"/>
    <col min="4087" max="4332" width="9.140625" style="8"/>
    <col min="4333" max="4333" width="4.42578125" style="8" customWidth="1"/>
    <col min="4334" max="4334" width="17.85546875" style="8" customWidth="1"/>
    <col min="4335" max="4335" width="39.28515625" style="8" customWidth="1"/>
    <col min="4336" max="4336" width="16.5703125" style="8" customWidth="1"/>
    <col min="4337" max="4337" width="17.5703125" style="8" customWidth="1"/>
    <col min="4338" max="4338" width="16.140625" style="8" customWidth="1"/>
    <col min="4339" max="4339" width="14.28515625" style="8" customWidth="1"/>
    <col min="4340" max="4340" width="21" style="8" customWidth="1"/>
    <col min="4341" max="4341" width="12.140625" style="8" customWidth="1"/>
    <col min="4342" max="4342" width="10.7109375" style="8" bestFit="1" customWidth="1"/>
    <col min="4343" max="4588" width="9.140625" style="8"/>
    <col min="4589" max="4589" width="4.42578125" style="8" customWidth="1"/>
    <col min="4590" max="4590" width="17.85546875" style="8" customWidth="1"/>
    <col min="4591" max="4591" width="39.28515625" style="8" customWidth="1"/>
    <col min="4592" max="4592" width="16.5703125" style="8" customWidth="1"/>
    <col min="4593" max="4593" width="17.5703125" style="8" customWidth="1"/>
    <col min="4594" max="4594" width="16.140625" style="8" customWidth="1"/>
    <col min="4595" max="4595" width="14.28515625" style="8" customWidth="1"/>
    <col min="4596" max="4596" width="21" style="8" customWidth="1"/>
    <col min="4597" max="4597" width="12.140625" style="8" customWidth="1"/>
    <col min="4598" max="4598" width="10.7109375" style="8" bestFit="1" customWidth="1"/>
    <col min="4599" max="4844" width="9.140625" style="8"/>
    <col min="4845" max="4845" width="4.42578125" style="8" customWidth="1"/>
    <col min="4846" max="4846" width="17.85546875" style="8" customWidth="1"/>
    <col min="4847" max="4847" width="39.28515625" style="8" customWidth="1"/>
    <col min="4848" max="4848" width="16.5703125" style="8" customWidth="1"/>
    <col min="4849" max="4849" width="17.5703125" style="8" customWidth="1"/>
    <col min="4850" max="4850" width="16.140625" style="8" customWidth="1"/>
    <col min="4851" max="4851" width="14.28515625" style="8" customWidth="1"/>
    <col min="4852" max="4852" width="21" style="8" customWidth="1"/>
    <col min="4853" max="4853" width="12.140625" style="8" customWidth="1"/>
    <col min="4854" max="4854" width="10.7109375" style="8" bestFit="1" customWidth="1"/>
    <col min="4855" max="5100" width="9.140625" style="8"/>
    <col min="5101" max="5101" width="4.42578125" style="8" customWidth="1"/>
    <col min="5102" max="5102" width="17.85546875" style="8" customWidth="1"/>
    <col min="5103" max="5103" width="39.28515625" style="8" customWidth="1"/>
    <col min="5104" max="5104" width="16.5703125" style="8" customWidth="1"/>
    <col min="5105" max="5105" width="17.5703125" style="8" customWidth="1"/>
    <col min="5106" max="5106" width="16.140625" style="8" customWidth="1"/>
    <col min="5107" max="5107" width="14.28515625" style="8" customWidth="1"/>
    <col min="5108" max="5108" width="21" style="8" customWidth="1"/>
    <col min="5109" max="5109" width="12.140625" style="8" customWidth="1"/>
    <col min="5110" max="5110" width="10.7109375" style="8" bestFit="1" customWidth="1"/>
    <col min="5111" max="5356" width="9.140625" style="8"/>
    <col min="5357" max="5357" width="4.42578125" style="8" customWidth="1"/>
    <col min="5358" max="5358" width="17.85546875" style="8" customWidth="1"/>
    <col min="5359" max="5359" width="39.28515625" style="8" customWidth="1"/>
    <col min="5360" max="5360" width="16.5703125" style="8" customWidth="1"/>
    <col min="5361" max="5361" width="17.5703125" style="8" customWidth="1"/>
    <col min="5362" max="5362" width="16.140625" style="8" customWidth="1"/>
    <col min="5363" max="5363" width="14.28515625" style="8" customWidth="1"/>
    <col min="5364" max="5364" width="21" style="8" customWidth="1"/>
    <col min="5365" max="5365" width="12.140625" style="8" customWidth="1"/>
    <col min="5366" max="5366" width="10.7109375" style="8" bestFit="1" customWidth="1"/>
    <col min="5367" max="5612" width="9.140625" style="8"/>
    <col min="5613" max="5613" width="4.42578125" style="8" customWidth="1"/>
    <col min="5614" max="5614" width="17.85546875" style="8" customWidth="1"/>
    <col min="5615" max="5615" width="39.28515625" style="8" customWidth="1"/>
    <col min="5616" max="5616" width="16.5703125" style="8" customWidth="1"/>
    <col min="5617" max="5617" width="17.5703125" style="8" customWidth="1"/>
    <col min="5618" max="5618" width="16.140625" style="8" customWidth="1"/>
    <col min="5619" max="5619" width="14.28515625" style="8" customWidth="1"/>
    <col min="5620" max="5620" width="21" style="8" customWidth="1"/>
    <col min="5621" max="5621" width="12.140625" style="8" customWidth="1"/>
    <col min="5622" max="5622" width="10.7109375" style="8" bestFit="1" customWidth="1"/>
    <col min="5623" max="5868" width="9.140625" style="8"/>
    <col min="5869" max="5869" width="4.42578125" style="8" customWidth="1"/>
    <col min="5870" max="5870" width="17.85546875" style="8" customWidth="1"/>
    <col min="5871" max="5871" width="39.28515625" style="8" customWidth="1"/>
    <col min="5872" max="5872" width="16.5703125" style="8" customWidth="1"/>
    <col min="5873" max="5873" width="17.5703125" style="8" customWidth="1"/>
    <col min="5874" max="5874" width="16.140625" style="8" customWidth="1"/>
    <col min="5875" max="5875" width="14.28515625" style="8" customWidth="1"/>
    <col min="5876" max="5876" width="21" style="8" customWidth="1"/>
    <col min="5877" max="5877" width="12.140625" style="8" customWidth="1"/>
    <col min="5878" max="5878" width="10.7109375" style="8" bestFit="1" customWidth="1"/>
    <col min="5879" max="6124" width="9.140625" style="8"/>
    <col min="6125" max="6125" width="4.42578125" style="8" customWidth="1"/>
    <col min="6126" max="6126" width="17.85546875" style="8" customWidth="1"/>
    <col min="6127" max="6127" width="39.28515625" style="8" customWidth="1"/>
    <col min="6128" max="6128" width="16.5703125" style="8" customWidth="1"/>
    <col min="6129" max="6129" width="17.5703125" style="8" customWidth="1"/>
    <col min="6130" max="6130" width="16.140625" style="8" customWidth="1"/>
    <col min="6131" max="6131" width="14.28515625" style="8" customWidth="1"/>
    <col min="6132" max="6132" width="21" style="8" customWidth="1"/>
    <col min="6133" max="6133" width="12.140625" style="8" customWidth="1"/>
    <col min="6134" max="6134" width="10.7109375" style="8" bestFit="1" customWidth="1"/>
    <col min="6135" max="6380" width="9.140625" style="8"/>
    <col min="6381" max="6381" width="4.42578125" style="8" customWidth="1"/>
    <col min="6382" max="6382" width="17.85546875" style="8" customWidth="1"/>
    <col min="6383" max="6383" width="39.28515625" style="8" customWidth="1"/>
    <col min="6384" max="6384" width="16.5703125" style="8" customWidth="1"/>
    <col min="6385" max="6385" width="17.5703125" style="8" customWidth="1"/>
    <col min="6386" max="6386" width="16.140625" style="8" customWidth="1"/>
    <col min="6387" max="6387" width="14.28515625" style="8" customWidth="1"/>
    <col min="6388" max="6388" width="21" style="8" customWidth="1"/>
    <col min="6389" max="6389" width="12.140625" style="8" customWidth="1"/>
    <col min="6390" max="6390" width="10.7109375" style="8" bestFit="1" customWidth="1"/>
    <col min="6391" max="6636" width="9.140625" style="8"/>
    <col min="6637" max="6637" width="4.42578125" style="8" customWidth="1"/>
    <col min="6638" max="6638" width="17.85546875" style="8" customWidth="1"/>
    <col min="6639" max="6639" width="39.28515625" style="8" customWidth="1"/>
    <col min="6640" max="6640" width="16.5703125" style="8" customWidth="1"/>
    <col min="6641" max="6641" width="17.5703125" style="8" customWidth="1"/>
    <col min="6642" max="6642" width="16.140625" style="8" customWidth="1"/>
    <col min="6643" max="6643" width="14.28515625" style="8" customWidth="1"/>
    <col min="6644" max="6644" width="21" style="8" customWidth="1"/>
    <col min="6645" max="6645" width="12.140625" style="8" customWidth="1"/>
    <col min="6646" max="6646" width="10.7109375" style="8" bestFit="1" customWidth="1"/>
    <col min="6647" max="6892" width="9.140625" style="8"/>
    <col min="6893" max="6893" width="4.42578125" style="8" customWidth="1"/>
    <col min="6894" max="6894" width="17.85546875" style="8" customWidth="1"/>
    <col min="6895" max="6895" width="39.28515625" style="8" customWidth="1"/>
    <col min="6896" max="6896" width="16.5703125" style="8" customWidth="1"/>
    <col min="6897" max="6897" width="17.5703125" style="8" customWidth="1"/>
    <col min="6898" max="6898" width="16.140625" style="8" customWidth="1"/>
    <col min="6899" max="6899" width="14.28515625" style="8" customWidth="1"/>
    <col min="6900" max="6900" width="21" style="8" customWidth="1"/>
    <col min="6901" max="6901" width="12.140625" style="8" customWidth="1"/>
    <col min="6902" max="6902" width="10.7109375" style="8" bestFit="1" customWidth="1"/>
    <col min="6903" max="7148" width="9.140625" style="8"/>
    <col min="7149" max="7149" width="4.42578125" style="8" customWidth="1"/>
    <col min="7150" max="7150" width="17.85546875" style="8" customWidth="1"/>
    <col min="7151" max="7151" width="39.28515625" style="8" customWidth="1"/>
    <col min="7152" max="7152" width="16.5703125" style="8" customWidth="1"/>
    <col min="7153" max="7153" width="17.5703125" style="8" customWidth="1"/>
    <col min="7154" max="7154" width="16.140625" style="8" customWidth="1"/>
    <col min="7155" max="7155" width="14.28515625" style="8" customWidth="1"/>
    <col min="7156" max="7156" width="21" style="8" customWidth="1"/>
    <col min="7157" max="7157" width="12.140625" style="8" customWidth="1"/>
    <col min="7158" max="7158" width="10.7109375" style="8" bestFit="1" customWidth="1"/>
    <col min="7159" max="7404" width="9.140625" style="8"/>
    <col min="7405" max="7405" width="4.42578125" style="8" customWidth="1"/>
    <col min="7406" max="7406" width="17.85546875" style="8" customWidth="1"/>
    <col min="7407" max="7407" width="39.28515625" style="8" customWidth="1"/>
    <col min="7408" max="7408" width="16.5703125" style="8" customWidth="1"/>
    <col min="7409" max="7409" width="17.5703125" style="8" customWidth="1"/>
    <col min="7410" max="7410" width="16.140625" style="8" customWidth="1"/>
    <col min="7411" max="7411" width="14.28515625" style="8" customWidth="1"/>
    <col min="7412" max="7412" width="21" style="8" customWidth="1"/>
    <col min="7413" max="7413" width="12.140625" style="8" customWidth="1"/>
    <col min="7414" max="7414" width="10.7109375" style="8" bestFit="1" customWidth="1"/>
    <col min="7415" max="7660" width="9.140625" style="8"/>
    <col min="7661" max="7661" width="4.42578125" style="8" customWidth="1"/>
    <col min="7662" max="7662" width="17.85546875" style="8" customWidth="1"/>
    <col min="7663" max="7663" width="39.28515625" style="8" customWidth="1"/>
    <col min="7664" max="7664" width="16.5703125" style="8" customWidth="1"/>
    <col min="7665" max="7665" width="17.5703125" style="8" customWidth="1"/>
    <col min="7666" max="7666" width="16.140625" style="8" customWidth="1"/>
    <col min="7667" max="7667" width="14.28515625" style="8" customWidth="1"/>
    <col min="7668" max="7668" width="21" style="8" customWidth="1"/>
    <col min="7669" max="7669" width="12.140625" style="8" customWidth="1"/>
    <col min="7670" max="7670" width="10.7109375" style="8" bestFit="1" customWidth="1"/>
    <col min="7671" max="7916" width="9.140625" style="8"/>
    <col min="7917" max="7917" width="4.42578125" style="8" customWidth="1"/>
    <col min="7918" max="7918" width="17.85546875" style="8" customWidth="1"/>
    <col min="7919" max="7919" width="39.28515625" style="8" customWidth="1"/>
    <col min="7920" max="7920" width="16.5703125" style="8" customWidth="1"/>
    <col min="7921" max="7921" width="17.5703125" style="8" customWidth="1"/>
    <col min="7922" max="7922" width="16.140625" style="8" customWidth="1"/>
    <col min="7923" max="7923" width="14.28515625" style="8" customWidth="1"/>
    <col min="7924" max="7924" width="21" style="8" customWidth="1"/>
    <col min="7925" max="7925" width="12.140625" style="8" customWidth="1"/>
    <col min="7926" max="7926" width="10.7109375" style="8" bestFit="1" customWidth="1"/>
    <col min="7927" max="8172" width="9.140625" style="8"/>
    <col min="8173" max="8173" width="4.42578125" style="8" customWidth="1"/>
    <col min="8174" max="8174" width="17.85546875" style="8" customWidth="1"/>
    <col min="8175" max="8175" width="39.28515625" style="8" customWidth="1"/>
    <col min="8176" max="8176" width="16.5703125" style="8" customWidth="1"/>
    <col min="8177" max="8177" width="17.5703125" style="8" customWidth="1"/>
    <col min="8178" max="8178" width="16.140625" style="8" customWidth="1"/>
    <col min="8179" max="8179" width="14.28515625" style="8" customWidth="1"/>
    <col min="8180" max="8180" width="21" style="8" customWidth="1"/>
    <col min="8181" max="8181" width="12.140625" style="8" customWidth="1"/>
    <col min="8182" max="8182" width="10.7109375" style="8" bestFit="1" customWidth="1"/>
    <col min="8183" max="8428" width="9.140625" style="8"/>
    <col min="8429" max="8429" width="4.42578125" style="8" customWidth="1"/>
    <col min="8430" max="8430" width="17.85546875" style="8" customWidth="1"/>
    <col min="8431" max="8431" width="39.28515625" style="8" customWidth="1"/>
    <col min="8432" max="8432" width="16.5703125" style="8" customWidth="1"/>
    <col min="8433" max="8433" width="17.5703125" style="8" customWidth="1"/>
    <col min="8434" max="8434" width="16.140625" style="8" customWidth="1"/>
    <col min="8435" max="8435" width="14.28515625" style="8" customWidth="1"/>
    <col min="8436" max="8436" width="21" style="8" customWidth="1"/>
    <col min="8437" max="8437" width="12.140625" style="8" customWidth="1"/>
    <col min="8438" max="8438" width="10.7109375" style="8" bestFit="1" customWidth="1"/>
    <col min="8439" max="8684" width="9.140625" style="8"/>
    <col min="8685" max="8685" width="4.42578125" style="8" customWidth="1"/>
    <col min="8686" max="8686" width="17.85546875" style="8" customWidth="1"/>
    <col min="8687" max="8687" width="39.28515625" style="8" customWidth="1"/>
    <col min="8688" max="8688" width="16.5703125" style="8" customWidth="1"/>
    <col min="8689" max="8689" width="17.5703125" style="8" customWidth="1"/>
    <col min="8690" max="8690" width="16.140625" style="8" customWidth="1"/>
    <col min="8691" max="8691" width="14.28515625" style="8" customWidth="1"/>
    <col min="8692" max="8692" width="21" style="8" customWidth="1"/>
    <col min="8693" max="8693" width="12.140625" style="8" customWidth="1"/>
    <col min="8694" max="8694" width="10.7109375" style="8" bestFit="1" customWidth="1"/>
    <col min="8695" max="8940" width="9.140625" style="8"/>
    <col min="8941" max="8941" width="4.42578125" style="8" customWidth="1"/>
    <col min="8942" max="8942" width="17.85546875" style="8" customWidth="1"/>
    <col min="8943" max="8943" width="39.28515625" style="8" customWidth="1"/>
    <col min="8944" max="8944" width="16.5703125" style="8" customWidth="1"/>
    <col min="8945" max="8945" width="17.5703125" style="8" customWidth="1"/>
    <col min="8946" max="8946" width="16.140625" style="8" customWidth="1"/>
    <col min="8947" max="8947" width="14.28515625" style="8" customWidth="1"/>
    <col min="8948" max="8948" width="21" style="8" customWidth="1"/>
    <col min="8949" max="8949" width="12.140625" style="8" customWidth="1"/>
    <col min="8950" max="8950" width="10.7109375" style="8" bestFit="1" customWidth="1"/>
    <col min="8951" max="9196" width="9.140625" style="8"/>
    <col min="9197" max="9197" width="4.42578125" style="8" customWidth="1"/>
    <col min="9198" max="9198" width="17.85546875" style="8" customWidth="1"/>
    <col min="9199" max="9199" width="39.28515625" style="8" customWidth="1"/>
    <col min="9200" max="9200" width="16.5703125" style="8" customWidth="1"/>
    <col min="9201" max="9201" width="17.5703125" style="8" customWidth="1"/>
    <col min="9202" max="9202" width="16.140625" style="8" customWidth="1"/>
    <col min="9203" max="9203" width="14.28515625" style="8" customWidth="1"/>
    <col min="9204" max="9204" width="21" style="8" customWidth="1"/>
    <col min="9205" max="9205" width="12.140625" style="8" customWidth="1"/>
    <col min="9206" max="9206" width="10.7109375" style="8" bestFit="1" customWidth="1"/>
    <col min="9207" max="9452" width="9.140625" style="8"/>
    <col min="9453" max="9453" width="4.42578125" style="8" customWidth="1"/>
    <col min="9454" max="9454" width="17.85546875" style="8" customWidth="1"/>
    <col min="9455" max="9455" width="39.28515625" style="8" customWidth="1"/>
    <col min="9456" max="9456" width="16.5703125" style="8" customWidth="1"/>
    <col min="9457" max="9457" width="17.5703125" style="8" customWidth="1"/>
    <col min="9458" max="9458" width="16.140625" style="8" customWidth="1"/>
    <col min="9459" max="9459" width="14.28515625" style="8" customWidth="1"/>
    <col min="9460" max="9460" width="21" style="8" customWidth="1"/>
    <col min="9461" max="9461" width="12.140625" style="8" customWidth="1"/>
    <col min="9462" max="9462" width="10.7109375" style="8" bestFit="1" customWidth="1"/>
    <col min="9463" max="9708" width="9.140625" style="8"/>
    <col min="9709" max="9709" width="4.42578125" style="8" customWidth="1"/>
    <col min="9710" max="9710" width="17.85546875" style="8" customWidth="1"/>
    <col min="9711" max="9711" width="39.28515625" style="8" customWidth="1"/>
    <col min="9712" max="9712" width="16.5703125" style="8" customWidth="1"/>
    <col min="9713" max="9713" width="17.5703125" style="8" customWidth="1"/>
    <col min="9714" max="9714" width="16.140625" style="8" customWidth="1"/>
    <col min="9715" max="9715" width="14.28515625" style="8" customWidth="1"/>
    <col min="9716" max="9716" width="21" style="8" customWidth="1"/>
    <col min="9717" max="9717" width="12.140625" style="8" customWidth="1"/>
    <col min="9718" max="9718" width="10.7109375" style="8" bestFit="1" customWidth="1"/>
    <col min="9719" max="9964" width="9.140625" style="8"/>
    <col min="9965" max="9965" width="4.42578125" style="8" customWidth="1"/>
    <col min="9966" max="9966" width="17.85546875" style="8" customWidth="1"/>
    <col min="9967" max="9967" width="39.28515625" style="8" customWidth="1"/>
    <col min="9968" max="9968" width="16.5703125" style="8" customWidth="1"/>
    <col min="9969" max="9969" width="17.5703125" style="8" customWidth="1"/>
    <col min="9970" max="9970" width="16.140625" style="8" customWidth="1"/>
    <col min="9971" max="9971" width="14.28515625" style="8" customWidth="1"/>
    <col min="9972" max="9972" width="21" style="8" customWidth="1"/>
    <col min="9973" max="9973" width="12.140625" style="8" customWidth="1"/>
    <col min="9974" max="9974" width="10.7109375" style="8" bestFit="1" customWidth="1"/>
    <col min="9975" max="10220" width="9.140625" style="8"/>
    <col min="10221" max="10221" width="4.42578125" style="8" customWidth="1"/>
    <col min="10222" max="10222" width="17.85546875" style="8" customWidth="1"/>
    <col min="10223" max="10223" width="39.28515625" style="8" customWidth="1"/>
    <col min="10224" max="10224" width="16.5703125" style="8" customWidth="1"/>
    <col min="10225" max="10225" width="17.5703125" style="8" customWidth="1"/>
    <col min="10226" max="10226" width="16.140625" style="8" customWidth="1"/>
    <col min="10227" max="10227" width="14.28515625" style="8" customWidth="1"/>
    <col min="10228" max="10228" width="21" style="8" customWidth="1"/>
    <col min="10229" max="10229" width="12.140625" style="8" customWidth="1"/>
    <col min="10230" max="10230" width="10.7109375" style="8" bestFit="1" customWidth="1"/>
    <col min="10231" max="10476" width="9.140625" style="8"/>
    <col min="10477" max="10477" width="4.42578125" style="8" customWidth="1"/>
    <col min="10478" max="10478" width="17.85546875" style="8" customWidth="1"/>
    <col min="10479" max="10479" width="39.28515625" style="8" customWidth="1"/>
    <col min="10480" max="10480" width="16.5703125" style="8" customWidth="1"/>
    <col min="10481" max="10481" width="17.5703125" style="8" customWidth="1"/>
    <col min="10482" max="10482" width="16.140625" style="8" customWidth="1"/>
    <col min="10483" max="10483" width="14.28515625" style="8" customWidth="1"/>
    <col min="10484" max="10484" width="21" style="8" customWidth="1"/>
    <col min="10485" max="10485" width="12.140625" style="8" customWidth="1"/>
    <col min="10486" max="10486" width="10.7109375" style="8" bestFit="1" customWidth="1"/>
    <col min="10487" max="10732" width="9.140625" style="8"/>
    <col min="10733" max="10733" width="4.42578125" style="8" customWidth="1"/>
    <col min="10734" max="10734" width="17.85546875" style="8" customWidth="1"/>
    <col min="10735" max="10735" width="39.28515625" style="8" customWidth="1"/>
    <col min="10736" max="10736" width="16.5703125" style="8" customWidth="1"/>
    <col min="10737" max="10737" width="17.5703125" style="8" customWidth="1"/>
    <col min="10738" max="10738" width="16.140625" style="8" customWidth="1"/>
    <col min="10739" max="10739" width="14.28515625" style="8" customWidth="1"/>
    <col min="10740" max="10740" width="21" style="8" customWidth="1"/>
    <col min="10741" max="10741" width="12.140625" style="8" customWidth="1"/>
    <col min="10742" max="10742" width="10.7109375" style="8" bestFit="1" customWidth="1"/>
    <col min="10743" max="10988" width="9.140625" style="8"/>
    <col min="10989" max="10989" width="4.42578125" style="8" customWidth="1"/>
    <col min="10990" max="10990" width="17.85546875" style="8" customWidth="1"/>
    <col min="10991" max="10991" width="39.28515625" style="8" customWidth="1"/>
    <col min="10992" max="10992" width="16.5703125" style="8" customWidth="1"/>
    <col min="10993" max="10993" width="17.5703125" style="8" customWidth="1"/>
    <col min="10994" max="10994" width="16.140625" style="8" customWidth="1"/>
    <col min="10995" max="10995" width="14.28515625" style="8" customWidth="1"/>
    <col min="10996" max="10996" width="21" style="8" customWidth="1"/>
    <col min="10997" max="10997" width="12.140625" style="8" customWidth="1"/>
    <col min="10998" max="10998" width="10.7109375" style="8" bestFit="1" customWidth="1"/>
    <col min="10999" max="11244" width="9.140625" style="8"/>
    <col min="11245" max="11245" width="4.42578125" style="8" customWidth="1"/>
    <col min="11246" max="11246" width="17.85546875" style="8" customWidth="1"/>
    <col min="11247" max="11247" width="39.28515625" style="8" customWidth="1"/>
    <col min="11248" max="11248" width="16.5703125" style="8" customWidth="1"/>
    <col min="11249" max="11249" width="17.5703125" style="8" customWidth="1"/>
    <col min="11250" max="11250" width="16.140625" style="8" customWidth="1"/>
    <col min="11251" max="11251" width="14.28515625" style="8" customWidth="1"/>
    <col min="11252" max="11252" width="21" style="8" customWidth="1"/>
    <col min="11253" max="11253" width="12.140625" style="8" customWidth="1"/>
    <col min="11254" max="11254" width="10.7109375" style="8" bestFit="1" customWidth="1"/>
    <col min="11255" max="11500" width="9.140625" style="8"/>
    <col min="11501" max="11501" width="4.42578125" style="8" customWidth="1"/>
    <col min="11502" max="11502" width="17.85546875" style="8" customWidth="1"/>
    <col min="11503" max="11503" width="39.28515625" style="8" customWidth="1"/>
    <col min="11504" max="11504" width="16.5703125" style="8" customWidth="1"/>
    <col min="11505" max="11505" width="17.5703125" style="8" customWidth="1"/>
    <col min="11506" max="11506" width="16.140625" style="8" customWidth="1"/>
    <col min="11507" max="11507" width="14.28515625" style="8" customWidth="1"/>
    <col min="11508" max="11508" width="21" style="8" customWidth="1"/>
    <col min="11509" max="11509" width="12.140625" style="8" customWidth="1"/>
    <col min="11510" max="11510" width="10.7109375" style="8" bestFit="1" customWidth="1"/>
    <col min="11511" max="11756" width="9.140625" style="8"/>
    <col min="11757" max="11757" width="4.42578125" style="8" customWidth="1"/>
    <col min="11758" max="11758" width="17.85546875" style="8" customWidth="1"/>
    <col min="11759" max="11759" width="39.28515625" style="8" customWidth="1"/>
    <col min="11760" max="11760" width="16.5703125" style="8" customWidth="1"/>
    <col min="11761" max="11761" width="17.5703125" style="8" customWidth="1"/>
    <col min="11762" max="11762" width="16.140625" style="8" customWidth="1"/>
    <col min="11763" max="11763" width="14.28515625" style="8" customWidth="1"/>
    <col min="11764" max="11764" width="21" style="8" customWidth="1"/>
    <col min="11765" max="11765" width="12.140625" style="8" customWidth="1"/>
    <col min="11766" max="11766" width="10.7109375" style="8" bestFit="1" customWidth="1"/>
    <col min="11767" max="12012" width="9.140625" style="8"/>
    <col min="12013" max="12013" width="4.42578125" style="8" customWidth="1"/>
    <col min="12014" max="12014" width="17.85546875" style="8" customWidth="1"/>
    <col min="12015" max="12015" width="39.28515625" style="8" customWidth="1"/>
    <col min="12016" max="12016" width="16.5703125" style="8" customWidth="1"/>
    <col min="12017" max="12017" width="17.5703125" style="8" customWidth="1"/>
    <col min="12018" max="12018" width="16.140625" style="8" customWidth="1"/>
    <col min="12019" max="12019" width="14.28515625" style="8" customWidth="1"/>
    <col min="12020" max="12020" width="21" style="8" customWidth="1"/>
    <col min="12021" max="12021" width="12.140625" style="8" customWidth="1"/>
    <col min="12022" max="12022" width="10.7109375" style="8" bestFit="1" customWidth="1"/>
    <col min="12023" max="12268" width="9.140625" style="8"/>
    <col min="12269" max="12269" width="4.42578125" style="8" customWidth="1"/>
    <col min="12270" max="12270" width="17.85546875" style="8" customWidth="1"/>
    <col min="12271" max="12271" width="39.28515625" style="8" customWidth="1"/>
    <col min="12272" max="12272" width="16.5703125" style="8" customWidth="1"/>
    <col min="12273" max="12273" width="17.5703125" style="8" customWidth="1"/>
    <col min="12274" max="12274" width="16.140625" style="8" customWidth="1"/>
    <col min="12275" max="12275" width="14.28515625" style="8" customWidth="1"/>
    <col min="12276" max="12276" width="21" style="8" customWidth="1"/>
    <col min="12277" max="12277" width="12.140625" style="8" customWidth="1"/>
    <col min="12278" max="12278" width="10.7109375" style="8" bestFit="1" customWidth="1"/>
    <col min="12279" max="12524" width="9.140625" style="8"/>
    <col min="12525" max="12525" width="4.42578125" style="8" customWidth="1"/>
    <col min="12526" max="12526" width="17.85546875" style="8" customWidth="1"/>
    <col min="12527" max="12527" width="39.28515625" style="8" customWidth="1"/>
    <col min="12528" max="12528" width="16.5703125" style="8" customWidth="1"/>
    <col min="12529" max="12529" width="17.5703125" style="8" customWidth="1"/>
    <col min="12530" max="12530" width="16.140625" style="8" customWidth="1"/>
    <col min="12531" max="12531" width="14.28515625" style="8" customWidth="1"/>
    <col min="12532" max="12532" width="21" style="8" customWidth="1"/>
    <col min="12533" max="12533" width="12.140625" style="8" customWidth="1"/>
    <col min="12534" max="12534" width="10.7109375" style="8" bestFit="1" customWidth="1"/>
    <col min="12535" max="12780" width="9.140625" style="8"/>
    <col min="12781" max="12781" width="4.42578125" style="8" customWidth="1"/>
    <col min="12782" max="12782" width="17.85546875" style="8" customWidth="1"/>
    <col min="12783" max="12783" width="39.28515625" style="8" customWidth="1"/>
    <col min="12784" max="12784" width="16.5703125" style="8" customWidth="1"/>
    <col min="12785" max="12785" width="17.5703125" style="8" customWidth="1"/>
    <col min="12786" max="12786" width="16.140625" style="8" customWidth="1"/>
    <col min="12787" max="12787" width="14.28515625" style="8" customWidth="1"/>
    <col min="12788" max="12788" width="21" style="8" customWidth="1"/>
    <col min="12789" max="12789" width="12.140625" style="8" customWidth="1"/>
    <col min="12790" max="12790" width="10.7109375" style="8" bestFit="1" customWidth="1"/>
    <col min="12791" max="13036" width="9.140625" style="8"/>
    <col min="13037" max="13037" width="4.42578125" style="8" customWidth="1"/>
    <col min="13038" max="13038" width="17.85546875" style="8" customWidth="1"/>
    <col min="13039" max="13039" width="39.28515625" style="8" customWidth="1"/>
    <col min="13040" max="13040" width="16.5703125" style="8" customWidth="1"/>
    <col min="13041" max="13041" width="17.5703125" style="8" customWidth="1"/>
    <col min="13042" max="13042" width="16.140625" style="8" customWidth="1"/>
    <col min="13043" max="13043" width="14.28515625" style="8" customWidth="1"/>
    <col min="13044" max="13044" width="21" style="8" customWidth="1"/>
    <col min="13045" max="13045" width="12.140625" style="8" customWidth="1"/>
    <col min="13046" max="13046" width="10.7109375" style="8" bestFit="1" customWidth="1"/>
    <col min="13047" max="13292" width="9.140625" style="8"/>
    <col min="13293" max="13293" width="4.42578125" style="8" customWidth="1"/>
    <col min="13294" max="13294" width="17.85546875" style="8" customWidth="1"/>
    <col min="13295" max="13295" width="39.28515625" style="8" customWidth="1"/>
    <col min="13296" max="13296" width="16.5703125" style="8" customWidth="1"/>
    <col min="13297" max="13297" width="17.5703125" style="8" customWidth="1"/>
    <col min="13298" max="13298" width="16.140625" style="8" customWidth="1"/>
    <col min="13299" max="13299" width="14.28515625" style="8" customWidth="1"/>
    <col min="13300" max="13300" width="21" style="8" customWidth="1"/>
    <col min="13301" max="13301" width="12.140625" style="8" customWidth="1"/>
    <col min="13302" max="13302" width="10.7109375" style="8" bestFit="1" customWidth="1"/>
    <col min="13303" max="13548" width="9.140625" style="8"/>
    <col min="13549" max="13549" width="4.42578125" style="8" customWidth="1"/>
    <col min="13550" max="13550" width="17.85546875" style="8" customWidth="1"/>
    <col min="13551" max="13551" width="39.28515625" style="8" customWidth="1"/>
    <col min="13552" max="13552" width="16.5703125" style="8" customWidth="1"/>
    <col min="13553" max="13553" width="17.5703125" style="8" customWidth="1"/>
    <col min="13554" max="13554" width="16.140625" style="8" customWidth="1"/>
    <col min="13555" max="13555" width="14.28515625" style="8" customWidth="1"/>
    <col min="13556" max="13556" width="21" style="8" customWidth="1"/>
    <col min="13557" max="13557" width="12.140625" style="8" customWidth="1"/>
    <col min="13558" max="13558" width="10.7109375" style="8" bestFit="1" customWidth="1"/>
    <col min="13559" max="13804" width="9.140625" style="8"/>
    <col min="13805" max="13805" width="4.42578125" style="8" customWidth="1"/>
    <col min="13806" max="13806" width="17.85546875" style="8" customWidth="1"/>
    <col min="13807" max="13807" width="39.28515625" style="8" customWidth="1"/>
    <col min="13808" max="13808" width="16.5703125" style="8" customWidth="1"/>
    <col min="13809" max="13809" width="17.5703125" style="8" customWidth="1"/>
    <col min="13810" max="13810" width="16.140625" style="8" customWidth="1"/>
    <col min="13811" max="13811" width="14.28515625" style="8" customWidth="1"/>
    <col min="13812" max="13812" width="21" style="8" customWidth="1"/>
    <col min="13813" max="13813" width="12.140625" style="8" customWidth="1"/>
    <col min="13814" max="13814" width="10.7109375" style="8" bestFit="1" customWidth="1"/>
    <col min="13815" max="14060" width="9.140625" style="8"/>
    <col min="14061" max="14061" width="4.42578125" style="8" customWidth="1"/>
    <col min="14062" max="14062" width="17.85546875" style="8" customWidth="1"/>
    <col min="14063" max="14063" width="39.28515625" style="8" customWidth="1"/>
    <col min="14064" max="14064" width="16.5703125" style="8" customWidth="1"/>
    <col min="14065" max="14065" width="17.5703125" style="8" customWidth="1"/>
    <col min="14066" max="14066" width="16.140625" style="8" customWidth="1"/>
    <col min="14067" max="14067" width="14.28515625" style="8" customWidth="1"/>
    <col min="14068" max="14068" width="21" style="8" customWidth="1"/>
    <col min="14069" max="14069" width="12.140625" style="8" customWidth="1"/>
    <col min="14070" max="14070" width="10.7109375" style="8" bestFit="1" customWidth="1"/>
    <col min="14071" max="14316" width="9.140625" style="8"/>
    <col min="14317" max="14317" width="4.42578125" style="8" customWidth="1"/>
    <col min="14318" max="14318" width="17.85546875" style="8" customWidth="1"/>
    <col min="14319" max="14319" width="39.28515625" style="8" customWidth="1"/>
    <col min="14320" max="14320" width="16.5703125" style="8" customWidth="1"/>
    <col min="14321" max="14321" width="17.5703125" style="8" customWidth="1"/>
    <col min="14322" max="14322" width="16.140625" style="8" customWidth="1"/>
    <col min="14323" max="14323" width="14.28515625" style="8" customWidth="1"/>
    <col min="14324" max="14324" width="21" style="8" customWidth="1"/>
    <col min="14325" max="14325" width="12.140625" style="8" customWidth="1"/>
    <col min="14326" max="14326" width="10.7109375" style="8" bestFit="1" customWidth="1"/>
    <col min="14327" max="14572" width="9.140625" style="8"/>
    <col min="14573" max="14573" width="4.42578125" style="8" customWidth="1"/>
    <col min="14574" max="14574" width="17.85546875" style="8" customWidth="1"/>
    <col min="14575" max="14575" width="39.28515625" style="8" customWidth="1"/>
    <col min="14576" max="14576" width="16.5703125" style="8" customWidth="1"/>
    <col min="14577" max="14577" width="17.5703125" style="8" customWidth="1"/>
    <col min="14578" max="14578" width="16.140625" style="8" customWidth="1"/>
    <col min="14579" max="14579" width="14.28515625" style="8" customWidth="1"/>
    <col min="14580" max="14580" width="21" style="8" customWidth="1"/>
    <col min="14581" max="14581" width="12.140625" style="8" customWidth="1"/>
    <col min="14582" max="14582" width="10.7109375" style="8" bestFit="1" customWidth="1"/>
    <col min="14583" max="14828" width="9.140625" style="8"/>
    <col min="14829" max="14829" width="4.42578125" style="8" customWidth="1"/>
    <col min="14830" max="14830" width="17.85546875" style="8" customWidth="1"/>
    <col min="14831" max="14831" width="39.28515625" style="8" customWidth="1"/>
    <col min="14832" max="14832" width="16.5703125" style="8" customWidth="1"/>
    <col min="14833" max="14833" width="17.5703125" style="8" customWidth="1"/>
    <col min="14834" max="14834" width="16.140625" style="8" customWidth="1"/>
    <col min="14835" max="14835" width="14.28515625" style="8" customWidth="1"/>
    <col min="14836" max="14836" width="21" style="8" customWidth="1"/>
    <col min="14837" max="14837" width="12.140625" style="8" customWidth="1"/>
    <col min="14838" max="14838" width="10.7109375" style="8" bestFit="1" customWidth="1"/>
    <col min="14839" max="15084" width="9.140625" style="8"/>
    <col min="15085" max="15085" width="4.42578125" style="8" customWidth="1"/>
    <col min="15086" max="15086" width="17.85546875" style="8" customWidth="1"/>
    <col min="15087" max="15087" width="39.28515625" style="8" customWidth="1"/>
    <col min="15088" max="15088" width="16.5703125" style="8" customWidth="1"/>
    <col min="15089" max="15089" width="17.5703125" style="8" customWidth="1"/>
    <col min="15090" max="15090" width="16.140625" style="8" customWidth="1"/>
    <col min="15091" max="15091" width="14.28515625" style="8" customWidth="1"/>
    <col min="15092" max="15092" width="21" style="8" customWidth="1"/>
    <col min="15093" max="15093" width="12.140625" style="8" customWidth="1"/>
    <col min="15094" max="15094" width="10.7109375" style="8" bestFit="1" customWidth="1"/>
    <col min="15095" max="15340" width="9.140625" style="8"/>
    <col min="15341" max="15341" width="4.42578125" style="8" customWidth="1"/>
    <col min="15342" max="15342" width="17.85546875" style="8" customWidth="1"/>
    <col min="15343" max="15343" width="39.28515625" style="8" customWidth="1"/>
    <col min="15344" max="15344" width="16.5703125" style="8" customWidth="1"/>
    <col min="15345" max="15345" width="17.5703125" style="8" customWidth="1"/>
    <col min="15346" max="15346" width="16.140625" style="8" customWidth="1"/>
    <col min="15347" max="15347" width="14.28515625" style="8" customWidth="1"/>
    <col min="15348" max="15348" width="21" style="8" customWidth="1"/>
    <col min="15349" max="15349" width="12.140625" style="8" customWidth="1"/>
    <col min="15350" max="15350" width="10.7109375" style="8" bestFit="1" customWidth="1"/>
    <col min="15351" max="15596" width="9.140625" style="8"/>
    <col min="15597" max="15597" width="4.42578125" style="8" customWidth="1"/>
    <col min="15598" max="15598" width="17.85546875" style="8" customWidth="1"/>
    <col min="15599" max="15599" width="39.28515625" style="8" customWidth="1"/>
    <col min="15600" max="15600" width="16.5703125" style="8" customWidth="1"/>
    <col min="15601" max="15601" width="17.5703125" style="8" customWidth="1"/>
    <col min="15602" max="15602" width="16.140625" style="8" customWidth="1"/>
    <col min="15603" max="15603" width="14.28515625" style="8" customWidth="1"/>
    <col min="15604" max="15604" width="21" style="8" customWidth="1"/>
    <col min="15605" max="15605" width="12.140625" style="8" customWidth="1"/>
    <col min="15606" max="15606" width="10.7109375" style="8" bestFit="1" customWidth="1"/>
    <col min="15607" max="15852" width="9.140625" style="8"/>
    <col min="15853" max="15853" width="4.42578125" style="8" customWidth="1"/>
    <col min="15854" max="15854" width="17.85546875" style="8" customWidth="1"/>
    <col min="15855" max="15855" width="39.28515625" style="8" customWidth="1"/>
    <col min="15856" max="15856" width="16.5703125" style="8" customWidth="1"/>
    <col min="15857" max="15857" width="17.5703125" style="8" customWidth="1"/>
    <col min="15858" max="15858" width="16.140625" style="8" customWidth="1"/>
    <col min="15859" max="15859" width="14.28515625" style="8" customWidth="1"/>
    <col min="15860" max="15860" width="21" style="8" customWidth="1"/>
    <col min="15861" max="15861" width="12.140625" style="8" customWidth="1"/>
    <col min="15862" max="15862" width="10.7109375" style="8" bestFit="1" customWidth="1"/>
    <col min="15863" max="16108" width="9.140625" style="8"/>
    <col min="16109" max="16109" width="4.42578125" style="8" customWidth="1"/>
    <col min="16110" max="16110" width="17.85546875" style="8" customWidth="1"/>
    <col min="16111" max="16111" width="39.28515625" style="8" customWidth="1"/>
    <col min="16112" max="16112" width="16.5703125" style="8" customWidth="1"/>
    <col min="16113" max="16113" width="17.5703125" style="8" customWidth="1"/>
    <col min="16114" max="16114" width="16.140625" style="8" customWidth="1"/>
    <col min="16115" max="16115" width="14.28515625" style="8" customWidth="1"/>
    <col min="16116" max="16116" width="21" style="8" customWidth="1"/>
    <col min="16117" max="16117" width="12.140625" style="8" customWidth="1"/>
    <col min="16118" max="16118" width="10.7109375" style="8" bestFit="1" customWidth="1"/>
    <col min="16119" max="16384" width="9.140625" style="8"/>
  </cols>
  <sheetData>
    <row r="1" spans="1:8">
      <c r="A1" s="6" t="s">
        <v>20</v>
      </c>
      <c r="B1" s="6"/>
      <c r="C1" s="6"/>
      <c r="D1" s="6"/>
      <c r="E1" s="7"/>
      <c r="F1" s="6"/>
      <c r="G1" s="6"/>
      <c r="H1" s="312" t="str">
        <f>+'1'!C9</f>
        <v xml:space="preserve">№ </v>
      </c>
    </row>
    <row r="2" spans="1:8">
      <c r="A2" s="9" t="s">
        <v>21</v>
      </c>
      <c r="B2" s="10"/>
      <c r="C2" s="6"/>
      <c r="D2" s="6"/>
      <c r="E2" s="7"/>
      <c r="F2" s="6"/>
      <c r="G2" s="6"/>
      <c r="H2" s="6"/>
    </row>
    <row r="3" spans="1:8">
      <c r="A3" s="6"/>
      <c r="B3" s="6"/>
      <c r="C3" s="6"/>
      <c r="D3" s="6"/>
      <c r="E3" s="7"/>
      <c r="F3" s="6"/>
      <c r="G3" s="6"/>
      <c r="H3" s="6"/>
    </row>
    <row r="4" spans="1:8" ht="18.75">
      <c r="A4" s="9" t="s">
        <v>22</v>
      </c>
      <c r="B4" s="10"/>
      <c r="C4" s="11" t="s">
        <v>23</v>
      </c>
      <c r="D4" s="6"/>
      <c r="E4" s="7"/>
      <c r="F4" s="12"/>
      <c r="G4" s="6"/>
      <c r="H4" s="6"/>
    </row>
    <row r="5" spans="1:8">
      <c r="A5" s="6"/>
      <c r="B5" s="10"/>
      <c r="C5" s="793" t="s">
        <v>24</v>
      </c>
      <c r="D5" s="793"/>
      <c r="E5" s="793"/>
      <c r="F5" s="793"/>
      <c r="G5" s="13">
        <f>+H67</f>
        <v>29176.785261844248</v>
      </c>
      <c r="H5" s="14" t="s">
        <v>25</v>
      </c>
    </row>
    <row r="6" spans="1:8" s="19" customFormat="1" ht="12.75">
      <c r="A6" s="15"/>
      <c r="B6" s="15"/>
      <c r="C6" s="15"/>
      <c r="D6" s="15"/>
      <c r="E6" s="16"/>
      <c r="F6" s="15"/>
      <c r="G6" s="17"/>
      <c r="H6" s="18"/>
    </row>
    <row r="7" spans="1:8" ht="25.5" customHeight="1">
      <c r="A7" s="6"/>
      <c r="B7" s="794"/>
      <c r="C7" s="794"/>
      <c r="D7" s="795" t="s">
        <v>26</v>
      </c>
      <c r="E7" s="795"/>
      <c r="F7" s="795"/>
      <c r="G7" s="20">
        <f>H37*0.15</f>
        <v>50.497131610701842</v>
      </c>
      <c r="H7" s="14" t="s">
        <v>25</v>
      </c>
    </row>
    <row r="8" spans="1:8">
      <c r="A8" s="6"/>
      <c r="B8" s="6"/>
      <c r="C8" s="6"/>
      <c r="D8" s="12"/>
      <c r="E8" s="21"/>
      <c r="F8" s="12"/>
      <c r="G8" s="6" t="s">
        <v>20</v>
      </c>
      <c r="H8" s="6"/>
    </row>
    <row r="9" spans="1:8" ht="18.75">
      <c r="A9" s="22" t="s">
        <v>27</v>
      </c>
      <c r="B9" s="22"/>
      <c r="C9" s="22"/>
      <c r="D9" s="22"/>
      <c r="E9" s="22"/>
      <c r="F9" s="22"/>
      <c r="G9" s="22"/>
      <c r="H9" s="22"/>
    </row>
    <row r="10" spans="1:8" s="25" customFormat="1" ht="12.75">
      <c r="A10" s="23"/>
      <c r="B10" s="23"/>
      <c r="C10" s="23"/>
      <c r="D10" s="23"/>
      <c r="E10" s="24"/>
      <c r="F10" s="23"/>
      <c r="G10" s="23"/>
      <c r="H10" s="23"/>
    </row>
    <row r="11" spans="1:8" ht="41.25" customHeight="1">
      <c r="A11" s="796" t="str">
        <f>+'1'!D1</f>
        <v xml:space="preserve">ԵՂԵԳԻՍ  ՀԱՄԱՅՆՔԻ ՔԱՐԱԳԼՈՒԽ ԳՅՈՒՂԻ ՋՐԱՄԱՏԱԿԱՐԱՐՈՒՄ  </v>
      </c>
      <c r="B11" s="796"/>
      <c r="C11" s="796"/>
      <c r="D11" s="796"/>
      <c r="E11" s="796"/>
      <c r="F11" s="796"/>
      <c r="G11" s="796"/>
      <c r="H11" s="796"/>
    </row>
    <row r="12" spans="1:8" s="25" customFormat="1" ht="12.75">
      <c r="A12" s="26" t="s">
        <v>28</v>
      </c>
      <c r="B12" s="26"/>
      <c r="C12" s="26"/>
      <c r="D12" s="26"/>
      <c r="E12" s="26"/>
      <c r="F12" s="26"/>
      <c r="G12" s="26"/>
      <c r="H12" s="26"/>
    </row>
    <row r="13" spans="1:8" ht="16.5" thickBot="1">
      <c r="A13" s="27"/>
      <c r="B13" s="27"/>
      <c r="C13" s="6"/>
      <c r="D13" s="6"/>
      <c r="E13" s="7"/>
      <c r="F13" s="6"/>
      <c r="G13" s="6"/>
      <c r="H13" s="6"/>
    </row>
    <row r="14" spans="1:8" ht="16.5" thickTop="1">
      <c r="A14" s="797" t="s">
        <v>29</v>
      </c>
      <c r="B14" s="799" t="s">
        <v>30</v>
      </c>
      <c r="C14" s="801" t="s">
        <v>31</v>
      </c>
      <c r="D14" s="803" t="s">
        <v>32</v>
      </c>
      <c r="E14" s="803"/>
      <c r="F14" s="803"/>
      <c r="G14" s="803"/>
      <c r="H14" s="804"/>
    </row>
    <row r="15" spans="1:8" ht="50.25" customHeight="1" thickBot="1">
      <c r="A15" s="798"/>
      <c r="B15" s="800"/>
      <c r="C15" s="802"/>
      <c r="D15" s="314" t="s">
        <v>33</v>
      </c>
      <c r="E15" s="315" t="s">
        <v>34</v>
      </c>
      <c r="F15" s="316" t="s">
        <v>35</v>
      </c>
      <c r="G15" s="316" t="s">
        <v>36</v>
      </c>
      <c r="H15" s="317" t="s">
        <v>37</v>
      </c>
    </row>
    <row r="16" spans="1:8" s="25" customFormat="1" ht="14.25" thickTop="1" thickBot="1">
      <c r="A16" s="28">
        <v>1</v>
      </c>
      <c r="B16" s="28">
        <v>2</v>
      </c>
      <c r="C16" s="28">
        <v>3</v>
      </c>
      <c r="D16" s="28">
        <v>4</v>
      </c>
      <c r="E16" s="28">
        <v>5</v>
      </c>
      <c r="F16" s="28">
        <v>6</v>
      </c>
      <c r="G16" s="28">
        <v>7</v>
      </c>
      <c r="H16" s="28">
        <v>8</v>
      </c>
    </row>
    <row r="17" spans="1:9" ht="16.5" hidden="1" customHeight="1" thickTop="1">
      <c r="A17" s="29" t="s">
        <v>227</v>
      </c>
      <c r="B17" s="30"/>
      <c r="C17" s="30"/>
      <c r="D17" s="30"/>
      <c r="E17" s="31"/>
      <c r="F17" s="30"/>
      <c r="G17" s="30"/>
      <c r="H17" s="32"/>
    </row>
    <row r="18" spans="1:9" s="40" customFormat="1" ht="16.5" hidden="1" customHeight="1">
      <c r="A18" s="33">
        <v>1</v>
      </c>
      <c r="B18" s="34"/>
      <c r="C18" s="35"/>
      <c r="D18" s="36"/>
      <c r="E18" s="37"/>
      <c r="F18" s="36"/>
      <c r="G18" s="36"/>
      <c r="H18" s="39">
        <f>SUM(D18:G18)-E18</f>
        <v>0</v>
      </c>
    </row>
    <row r="19" spans="1:9" s="40" customFormat="1" ht="16.5" hidden="1" customHeight="1">
      <c r="A19" s="33">
        <f>+A18+1</f>
        <v>2</v>
      </c>
      <c r="B19" s="34"/>
      <c r="C19" s="35"/>
      <c r="D19" s="36"/>
      <c r="E19" s="37"/>
      <c r="F19" s="36"/>
      <c r="G19" s="41"/>
      <c r="H19" s="39">
        <f>SUM(D19:G19)-E19</f>
        <v>0</v>
      </c>
    </row>
    <row r="20" spans="1:9" s="48" customFormat="1" ht="16.5" hidden="1" customHeight="1">
      <c r="A20" s="42"/>
      <c r="B20" s="43"/>
      <c r="C20" s="44" t="s">
        <v>228</v>
      </c>
      <c r="D20" s="172">
        <f>SUM(D18:D19)</f>
        <v>0</v>
      </c>
      <c r="E20" s="461">
        <f>SUM(E18:E19)</f>
        <v>0</v>
      </c>
      <c r="F20" s="172">
        <f>SUM(F18:F19)</f>
        <v>0</v>
      </c>
      <c r="G20" s="45">
        <f>SUM(G18:G19)</f>
        <v>0</v>
      </c>
      <c r="H20" s="46">
        <f>SUM(D20:G20)-E20</f>
        <v>0</v>
      </c>
      <c r="I20" s="47"/>
    </row>
    <row r="21" spans="1:9" ht="18" customHeight="1" thickTop="1">
      <c r="A21" s="49" t="s">
        <v>38</v>
      </c>
      <c r="B21" s="50"/>
      <c r="C21" s="50"/>
      <c r="D21" s="51"/>
      <c r="E21" s="52"/>
      <c r="F21" s="318"/>
      <c r="G21" s="51"/>
      <c r="H21" s="53"/>
    </row>
    <row r="22" spans="1:9" s="40" customFormat="1" ht="18" customHeight="1">
      <c r="A22" s="33">
        <v>1</v>
      </c>
      <c r="B22" s="34" t="s">
        <v>39</v>
      </c>
      <c r="C22" s="35" t="str">
        <f>+'1'!E6</f>
        <v xml:space="preserve"> ՔԱՐԱԳԼՈՒԽ ԲՆԱԿԱՎԱՅՐ</v>
      </c>
      <c r="D22" s="319">
        <f>+'1'!T133</f>
        <v>22443.169604756375</v>
      </c>
      <c r="E22" s="523">
        <f>+'1'!U136</f>
        <v>10497.548093094088</v>
      </c>
      <c r="F22" s="172">
        <f>+'1'!T134</f>
        <v>0</v>
      </c>
      <c r="G22" s="36"/>
      <c r="H22" s="39">
        <f t="shared" ref="H22:H33" si="0">SUM(D22:G22)-E22</f>
        <v>22443.169604756375</v>
      </c>
    </row>
    <row r="23" spans="1:9" s="40" customFormat="1" ht="18" hidden="1" customHeight="1">
      <c r="A23" s="33">
        <f>+A22+1</f>
        <v>2</v>
      </c>
      <c r="B23" s="34" t="s">
        <v>165</v>
      </c>
      <c r="C23" s="35"/>
      <c r="D23" s="319"/>
      <c r="E23" s="523"/>
      <c r="F23" s="172"/>
      <c r="G23" s="36"/>
      <c r="H23" s="39">
        <f>SUM(E23:G23)-E23</f>
        <v>0</v>
      </c>
    </row>
    <row r="24" spans="1:9" s="6" customFormat="1" ht="18" hidden="1" customHeight="1">
      <c r="A24" s="33">
        <f t="shared" ref="A24:A26" si="1">+A23+1</f>
        <v>3</v>
      </c>
      <c r="B24" s="34" t="s">
        <v>166</v>
      </c>
      <c r="C24" s="35"/>
      <c r="D24" s="319"/>
      <c r="E24" s="524"/>
      <c r="F24" s="320"/>
      <c r="G24" s="55"/>
      <c r="H24" s="56">
        <f>SUM(E24:G24)-E24</f>
        <v>0</v>
      </c>
    </row>
    <row r="25" spans="1:9" s="6" customFormat="1" ht="18" hidden="1" customHeight="1">
      <c r="A25" s="33">
        <f t="shared" si="1"/>
        <v>4</v>
      </c>
      <c r="B25" s="34" t="s">
        <v>167</v>
      </c>
      <c r="C25" s="35"/>
      <c r="D25" s="319"/>
      <c r="E25" s="523"/>
      <c r="F25" s="320"/>
      <c r="G25" s="55"/>
      <c r="H25" s="56">
        <f>SUM(E25:G25)-E25</f>
        <v>0</v>
      </c>
    </row>
    <row r="26" spans="1:9" s="40" customFormat="1" ht="18" hidden="1" customHeight="1">
      <c r="A26" s="33">
        <f t="shared" si="1"/>
        <v>5</v>
      </c>
      <c r="B26" s="34" t="s">
        <v>168</v>
      </c>
      <c r="C26" s="35"/>
      <c r="D26" s="319"/>
      <c r="E26" s="523"/>
      <c r="F26" s="172"/>
      <c r="G26" s="36"/>
      <c r="H26" s="39">
        <f>SUM(E26:G26)-E26</f>
        <v>0</v>
      </c>
    </row>
    <row r="27" spans="1:9" s="40" customFormat="1" ht="18" hidden="1" customHeight="1">
      <c r="A27" s="33">
        <v>1</v>
      </c>
      <c r="B27" s="34" t="s">
        <v>131</v>
      </c>
      <c r="C27" s="36"/>
      <c r="D27" s="36"/>
      <c r="E27" s="523"/>
      <c r="F27" s="172"/>
      <c r="G27" s="36"/>
      <c r="H27" s="39">
        <f t="shared" si="0"/>
        <v>0</v>
      </c>
    </row>
    <row r="28" spans="1:9" s="40" customFormat="1" ht="18" hidden="1" customHeight="1">
      <c r="A28" s="33">
        <f t="shared" ref="A28:A33" si="2">+A27+1</f>
        <v>2</v>
      </c>
      <c r="B28" s="34" t="s">
        <v>137</v>
      </c>
      <c r="C28" s="36"/>
      <c r="E28" s="523"/>
      <c r="F28" s="172"/>
      <c r="G28" s="36"/>
      <c r="H28" s="39">
        <f t="shared" si="0"/>
        <v>0</v>
      </c>
    </row>
    <row r="29" spans="1:9" s="40" customFormat="1" ht="18" hidden="1" customHeight="1">
      <c r="A29" s="33">
        <f t="shared" si="2"/>
        <v>3</v>
      </c>
      <c r="B29" s="34" t="s">
        <v>169</v>
      </c>
      <c r="C29" s="35"/>
      <c r="D29" s="319"/>
      <c r="E29" s="523"/>
      <c r="F29" s="172"/>
      <c r="G29" s="36"/>
      <c r="H29" s="39">
        <f t="shared" si="0"/>
        <v>0</v>
      </c>
    </row>
    <row r="30" spans="1:9" s="40" customFormat="1" ht="18" hidden="1" customHeight="1">
      <c r="A30" s="33">
        <f t="shared" si="2"/>
        <v>4</v>
      </c>
      <c r="B30" s="34" t="s">
        <v>170</v>
      </c>
      <c r="C30" s="35"/>
      <c r="D30" s="319"/>
      <c r="E30" s="523"/>
      <c r="F30" s="172"/>
      <c r="G30" s="36"/>
      <c r="H30" s="39">
        <f t="shared" si="0"/>
        <v>0</v>
      </c>
    </row>
    <row r="31" spans="1:9" s="40" customFormat="1" ht="18" hidden="1" customHeight="1">
      <c r="A31" s="33">
        <f t="shared" si="2"/>
        <v>5</v>
      </c>
      <c r="B31" s="34" t="s">
        <v>171</v>
      </c>
      <c r="C31" s="35"/>
      <c r="D31" s="319"/>
      <c r="E31" s="523"/>
      <c r="F31" s="172"/>
      <c r="G31" s="36"/>
      <c r="H31" s="39">
        <f t="shared" si="0"/>
        <v>0</v>
      </c>
    </row>
    <row r="32" spans="1:9" s="40" customFormat="1" ht="18" hidden="1" customHeight="1">
      <c r="A32" s="33">
        <f t="shared" si="2"/>
        <v>6</v>
      </c>
      <c r="B32" s="34" t="s">
        <v>172</v>
      </c>
      <c r="C32" s="35"/>
      <c r="D32" s="319"/>
      <c r="E32" s="523"/>
      <c r="F32" s="172"/>
      <c r="G32" s="36"/>
      <c r="H32" s="39">
        <f t="shared" si="0"/>
        <v>0</v>
      </c>
    </row>
    <row r="33" spans="1:9" s="40" customFormat="1" ht="18" hidden="1" customHeight="1">
      <c r="A33" s="33">
        <f t="shared" si="2"/>
        <v>7</v>
      </c>
      <c r="B33" s="34" t="s">
        <v>173</v>
      </c>
      <c r="C33" s="35"/>
      <c r="D33" s="319"/>
      <c r="E33" s="523"/>
      <c r="F33" s="172"/>
      <c r="G33" s="36"/>
      <c r="H33" s="39">
        <f t="shared" si="0"/>
        <v>0</v>
      </c>
    </row>
    <row r="34" spans="1:9" s="40" customFormat="1" ht="18" customHeight="1">
      <c r="A34" s="33"/>
      <c r="B34" s="57"/>
      <c r="C34" s="44" t="s">
        <v>40</v>
      </c>
      <c r="D34" s="319">
        <f>SUM(D22:D33)</f>
        <v>22443.169604756375</v>
      </c>
      <c r="E34" s="523">
        <f>SUM(E22:E33)</f>
        <v>10497.548093094088</v>
      </c>
      <c r="F34" s="172">
        <f>SUM(F22:F33)</f>
        <v>0</v>
      </c>
      <c r="G34" s="36"/>
      <c r="H34" s="39">
        <f>SUM(H22:H33)</f>
        <v>22443.169604756375</v>
      </c>
    </row>
    <row r="35" spans="1:9" s="40" customFormat="1">
      <c r="A35" s="33"/>
      <c r="B35" s="34"/>
      <c r="C35" s="34" t="s">
        <v>41</v>
      </c>
      <c r="D35" s="319">
        <f>+D34+D20</f>
        <v>22443.169604756375</v>
      </c>
      <c r="E35" s="523">
        <f>+E34+E20</f>
        <v>10497.548093094088</v>
      </c>
      <c r="F35" s="172">
        <f>+F34</f>
        <v>0</v>
      </c>
      <c r="G35" s="36">
        <f>+G20</f>
        <v>0</v>
      </c>
      <c r="H35" s="39">
        <f>SUM(D35:G35)-E35</f>
        <v>22443.169604756375</v>
      </c>
      <c r="I35" s="58"/>
    </row>
    <row r="36" spans="1:9" s="40" customFormat="1" ht="21" customHeight="1">
      <c r="A36" s="321" t="s">
        <v>42</v>
      </c>
      <c r="B36" s="322"/>
      <c r="C36" s="323"/>
      <c r="D36" s="324"/>
      <c r="E36" s="525"/>
      <c r="F36" s="325"/>
      <c r="G36" s="61"/>
      <c r="H36" s="53"/>
    </row>
    <row r="37" spans="1:9" s="40" customFormat="1" ht="18" customHeight="1">
      <c r="A37" s="33">
        <v>2</v>
      </c>
      <c r="B37" s="63">
        <v>1.4999999999999999E-2</v>
      </c>
      <c r="C37" s="35" t="s">
        <v>43</v>
      </c>
      <c r="D37" s="36">
        <f>+D35*$B$37</f>
        <v>336.64754407134564</v>
      </c>
      <c r="E37" s="37">
        <f>+E35*$B$37</f>
        <v>157.46322139641131</v>
      </c>
      <c r="F37" s="172">
        <f>+F35</f>
        <v>0</v>
      </c>
      <c r="G37" s="36"/>
      <c r="H37" s="39">
        <f>SUM(D37:G37)-E37</f>
        <v>336.64754407134564</v>
      </c>
    </row>
    <row r="38" spans="1:9" s="40" customFormat="1">
      <c r="A38" s="33"/>
      <c r="B38" s="57"/>
      <c r="C38" s="44" t="s">
        <v>44</v>
      </c>
      <c r="D38" s="36">
        <f>+D37</f>
        <v>336.64754407134564</v>
      </c>
      <c r="E38" s="37">
        <f>+E37</f>
        <v>157.46322139641131</v>
      </c>
      <c r="F38" s="172">
        <f>+F37</f>
        <v>0</v>
      </c>
      <c r="G38" s="36"/>
      <c r="H38" s="39">
        <f>SUM(D38:G38)-E38</f>
        <v>336.64754407134564</v>
      </c>
    </row>
    <row r="39" spans="1:9" s="40" customFormat="1">
      <c r="A39" s="33"/>
      <c r="B39" s="34"/>
      <c r="C39" s="34" t="s">
        <v>45</v>
      </c>
      <c r="D39" s="326">
        <f>+D35+D38</f>
        <v>22779.817148827718</v>
      </c>
      <c r="E39" s="37">
        <f>+E35+E38</f>
        <v>10655.011314490499</v>
      </c>
      <c r="F39" s="172">
        <f>+F38</f>
        <v>0</v>
      </c>
      <c r="G39" s="36">
        <f>+G35</f>
        <v>0</v>
      </c>
      <c r="H39" s="39">
        <f>SUM(D39:G39)-E39</f>
        <v>22779.817148827722</v>
      </c>
    </row>
    <row r="40" spans="1:9" s="40" customFormat="1">
      <c r="A40" s="59" t="s">
        <v>46</v>
      </c>
      <c r="B40" s="60"/>
      <c r="C40" s="60"/>
      <c r="D40" s="61"/>
      <c r="E40" s="62"/>
      <c r="F40" s="325"/>
      <c r="G40" s="61"/>
      <c r="H40" s="53"/>
    </row>
    <row r="41" spans="1:9" s="40" customFormat="1">
      <c r="A41" s="33">
        <f>+A37+1</f>
        <v>3</v>
      </c>
      <c r="B41" s="63">
        <v>0.01</v>
      </c>
      <c r="C41" s="35" t="s">
        <v>138</v>
      </c>
      <c r="D41" s="36">
        <f>+D39*$B$41</f>
        <v>227.79817148827718</v>
      </c>
      <c r="E41" s="37">
        <f>+E39*$B$41</f>
        <v>106.550113144905</v>
      </c>
      <c r="F41" s="172"/>
      <c r="G41" s="36"/>
      <c r="H41" s="39">
        <f t="shared" ref="H41:H48" si="3">SUM(D41:G41)-E41</f>
        <v>227.79817148827718</v>
      </c>
    </row>
    <row r="42" spans="1:9" s="40" customFormat="1">
      <c r="A42" s="33"/>
      <c r="B42" s="57"/>
      <c r="C42" s="35" t="s">
        <v>54</v>
      </c>
      <c r="D42" s="36">
        <f>+D41+D39</f>
        <v>23007.615320315996</v>
      </c>
      <c r="E42" s="37">
        <f>+E41+E39</f>
        <v>10761.561427635404</v>
      </c>
      <c r="F42" s="172">
        <f>+F41+F39</f>
        <v>0</v>
      </c>
      <c r="G42" s="36"/>
      <c r="H42" s="39">
        <f t="shared" si="3"/>
        <v>23007.615320315999</v>
      </c>
      <c r="I42" s="64"/>
    </row>
    <row r="43" spans="1:9" s="327" customFormat="1" hidden="1">
      <c r="A43" s="33">
        <f>+A41+1</f>
        <v>4</v>
      </c>
      <c r="B43" s="57"/>
      <c r="C43" s="34" t="s">
        <v>139</v>
      </c>
      <c r="D43" s="36">
        <f>D42*$B$43</f>
        <v>0</v>
      </c>
      <c r="E43" s="37">
        <f>E41*$B$41</f>
        <v>1.0655011314490499</v>
      </c>
      <c r="F43" s="172"/>
      <c r="G43" s="36"/>
      <c r="H43" s="39">
        <f t="shared" si="3"/>
        <v>0</v>
      </c>
    </row>
    <row r="44" spans="1:9" s="327" customFormat="1" hidden="1">
      <c r="A44" s="33"/>
      <c r="B44" s="57"/>
      <c r="C44" s="34" t="s">
        <v>54</v>
      </c>
      <c r="D44" s="36">
        <f>+D42+D43</f>
        <v>23007.615320315996</v>
      </c>
      <c r="E44" s="37">
        <f>+E41+E43</f>
        <v>107.61561427635405</v>
      </c>
      <c r="F44" s="172">
        <f>+F41+F43</f>
        <v>0</v>
      </c>
      <c r="G44" s="36"/>
      <c r="H44" s="39">
        <f t="shared" si="3"/>
        <v>23007.615320315996</v>
      </c>
    </row>
    <row r="45" spans="1:9" s="327" customFormat="1" hidden="1">
      <c r="A45" s="33">
        <f>+A43+1</f>
        <v>5</v>
      </c>
      <c r="B45" s="63"/>
      <c r="C45" s="34" t="s">
        <v>140</v>
      </c>
      <c r="D45" s="36"/>
      <c r="E45" s="37">
        <f>E43*$B$41</f>
        <v>1.0655011314490499E-2</v>
      </c>
      <c r="F45" s="172"/>
      <c r="G45" s="36">
        <f>D39*$B$45</f>
        <v>0</v>
      </c>
      <c r="H45" s="39">
        <f t="shared" si="3"/>
        <v>0</v>
      </c>
    </row>
    <row r="46" spans="1:9" s="327" customFormat="1" hidden="1">
      <c r="A46" s="33"/>
      <c r="B46" s="57"/>
      <c r="C46" s="34" t="s">
        <v>54</v>
      </c>
      <c r="D46" s="36">
        <f>+D44+G45</f>
        <v>23007.615320315996</v>
      </c>
      <c r="E46" s="37">
        <f>+E43+E45</f>
        <v>1.0761561427635404</v>
      </c>
      <c r="F46" s="172">
        <f>+F43+F45</f>
        <v>0</v>
      </c>
      <c r="G46" s="36">
        <f>+G45+G39</f>
        <v>0</v>
      </c>
      <c r="H46" s="39">
        <f t="shared" ref="H46" si="4">SUM(D46:G46)-E46</f>
        <v>23007.615320315996</v>
      </c>
    </row>
    <row r="47" spans="1:9" s="40" customFormat="1">
      <c r="A47" s="33"/>
      <c r="B47" s="57"/>
      <c r="C47" s="44" t="s">
        <v>47</v>
      </c>
      <c r="D47" s="36">
        <f>+D41+D43</f>
        <v>227.79817148827718</v>
      </c>
      <c r="E47" s="37">
        <f>+E41</f>
        <v>106.550113144905</v>
      </c>
      <c r="F47" s="172">
        <f>+F41</f>
        <v>0</v>
      </c>
      <c r="G47" s="36">
        <f>+G45</f>
        <v>0</v>
      </c>
      <c r="H47" s="39">
        <f t="shared" si="3"/>
        <v>227.79817148827718</v>
      </c>
    </row>
    <row r="48" spans="1:9" s="40" customFormat="1" ht="15" customHeight="1">
      <c r="A48" s="33"/>
      <c r="B48" s="34"/>
      <c r="C48" s="34" t="s">
        <v>48</v>
      </c>
      <c r="D48" s="36">
        <f>+D44</f>
        <v>23007.615320315996</v>
      </c>
      <c r="E48" s="37">
        <f>+E39+E47</f>
        <v>10761.561427635404</v>
      </c>
      <c r="F48" s="172">
        <f>+F39+F47</f>
        <v>0</v>
      </c>
      <c r="G48" s="36">
        <f>+G47+G39</f>
        <v>0</v>
      </c>
      <c r="H48" s="39">
        <f t="shared" si="3"/>
        <v>23007.615320315999</v>
      </c>
    </row>
    <row r="49" spans="1:10" s="40" customFormat="1" ht="17.25" customHeight="1">
      <c r="A49" s="59" t="s">
        <v>49</v>
      </c>
      <c r="B49" s="60"/>
      <c r="C49" s="328"/>
      <c r="D49" s="61"/>
      <c r="E49" s="62"/>
      <c r="F49" s="325"/>
      <c r="G49" s="61"/>
      <c r="H49" s="53"/>
    </row>
    <row r="50" spans="1:10" s="40" customFormat="1" ht="19.5" customHeight="1">
      <c r="A50" s="33">
        <f>+A41+1</f>
        <v>4</v>
      </c>
      <c r="B50" s="57">
        <v>0.02</v>
      </c>
      <c r="C50" s="329" t="s">
        <v>141</v>
      </c>
      <c r="D50" s="36"/>
      <c r="E50" s="37"/>
      <c r="F50" s="172"/>
      <c r="G50" s="36">
        <f>+D48*B50*1.2</f>
        <v>552.18276768758381</v>
      </c>
      <c r="H50" s="39">
        <f>SUM(D50:G50)-E50</f>
        <v>552.18276768758381</v>
      </c>
    </row>
    <row r="51" spans="1:10" s="40" customFormat="1" ht="19.5" customHeight="1">
      <c r="A51" s="33">
        <f>+A50+1</f>
        <v>5</v>
      </c>
      <c r="B51" s="57">
        <v>6.0000000000000001E-3</v>
      </c>
      <c r="C51" s="329" t="s">
        <v>142</v>
      </c>
      <c r="D51" s="36"/>
      <c r="E51" s="37"/>
      <c r="F51" s="172"/>
      <c r="G51" s="36">
        <f>+D48*B51*1.2</f>
        <v>165.65483030627516</v>
      </c>
      <c r="H51" s="39">
        <f>SUM(D51:G51)-E51</f>
        <v>165.65483030627516</v>
      </c>
      <c r="I51" s="64"/>
      <c r="J51" s="64"/>
    </row>
    <row r="52" spans="1:10" s="40" customFormat="1">
      <c r="A52" s="33"/>
      <c r="B52" s="57"/>
      <c r="C52" s="44" t="s">
        <v>50</v>
      </c>
      <c r="D52" s="38"/>
      <c r="E52" s="37"/>
      <c r="F52" s="172"/>
      <c r="G52" s="36">
        <f>SUM(G50:G51)</f>
        <v>717.83759799385894</v>
      </c>
      <c r="H52" s="39">
        <f>SUM(D52:G52)-E52</f>
        <v>717.83759799385894</v>
      </c>
    </row>
    <row r="53" spans="1:10" s="40" customFormat="1">
      <c r="A53" s="33"/>
      <c r="B53" s="34"/>
      <c r="C53" s="34" t="s">
        <v>51</v>
      </c>
      <c r="D53" s="36">
        <f>+D48</f>
        <v>23007.615320315996</v>
      </c>
      <c r="E53" s="37">
        <f>+E48</f>
        <v>10761.561427635404</v>
      </c>
      <c r="F53" s="172">
        <f>+F48</f>
        <v>0</v>
      </c>
      <c r="G53" s="36">
        <f>+G52+G48</f>
        <v>717.83759799385894</v>
      </c>
      <c r="H53" s="39">
        <f>SUM(D53:G53)-E53</f>
        <v>23725.452918309857</v>
      </c>
      <c r="I53" s="58"/>
    </row>
    <row r="54" spans="1:10" s="40" customFormat="1">
      <c r="A54" s="59" t="s">
        <v>52</v>
      </c>
      <c r="B54" s="60"/>
      <c r="C54" s="60"/>
      <c r="D54" s="61"/>
      <c r="E54" s="62"/>
      <c r="F54" s="330"/>
      <c r="G54" s="61"/>
      <c r="H54" s="53"/>
      <c r="J54" s="64"/>
    </row>
    <row r="55" spans="1:10" s="40" customFormat="1">
      <c r="A55" s="33">
        <f>+A51+1</f>
        <v>6</v>
      </c>
      <c r="B55" s="65">
        <v>0.03</v>
      </c>
      <c r="C55" s="34" t="s">
        <v>53</v>
      </c>
      <c r="D55" s="36">
        <f>+D53*$B$55</f>
        <v>690.22845960947984</v>
      </c>
      <c r="E55" s="37">
        <f>+E53*$B$55</f>
        <v>322.8468428290621</v>
      </c>
      <c r="F55" s="172">
        <f>+F53*$B$55</f>
        <v>0</v>
      </c>
      <c r="G55" s="54">
        <f>+G53*B55</f>
        <v>21.535127939815766</v>
      </c>
      <c r="H55" s="39">
        <f>SUM(D55:G55)-E55</f>
        <v>711.76358754929561</v>
      </c>
      <c r="I55" s="64"/>
      <c r="J55" s="64"/>
    </row>
    <row r="56" spans="1:10" s="40" customFormat="1">
      <c r="A56" s="33"/>
      <c r="B56" s="57"/>
      <c r="C56" s="35" t="s">
        <v>54</v>
      </c>
      <c r="D56" s="36">
        <f>+D55+D53</f>
        <v>23697.843779925475</v>
      </c>
      <c r="E56" s="37">
        <f>+E55+E53</f>
        <v>11084.408270464466</v>
      </c>
      <c r="F56" s="172">
        <f>+F55+F53</f>
        <v>0</v>
      </c>
      <c r="G56" s="36">
        <f>+G55+G53</f>
        <v>739.3727259336747</v>
      </c>
      <c r="H56" s="39">
        <f>SUM(D56:G56)-E56</f>
        <v>24437.216505859149</v>
      </c>
      <c r="I56" s="64"/>
    </row>
    <row r="57" spans="1:10" s="40" customFormat="1">
      <c r="A57" s="33"/>
      <c r="B57" s="57"/>
      <c r="C57" s="35"/>
      <c r="D57" s="36"/>
      <c r="E57" s="37"/>
      <c r="F57" s="172"/>
      <c r="G57" s="36"/>
      <c r="H57" s="39"/>
    </row>
    <row r="58" spans="1:10" s="71" customFormat="1">
      <c r="A58" s="66"/>
      <c r="B58" s="67">
        <v>0.2</v>
      </c>
      <c r="C58" s="68" t="s">
        <v>55</v>
      </c>
      <c r="D58" s="69">
        <f>+D56*$B$58</f>
        <v>4739.5687559850949</v>
      </c>
      <c r="E58" s="70">
        <f>+E56*$B$58</f>
        <v>2216.8816540928933</v>
      </c>
      <c r="F58" s="331">
        <f>+F56*$B$58</f>
        <v>0</v>
      </c>
      <c r="G58" s="69"/>
      <c r="H58" s="46">
        <f>SUM(D58:G58)-E58</f>
        <v>4739.5687559850958</v>
      </c>
    </row>
    <row r="59" spans="1:10" s="48" customFormat="1">
      <c r="A59" s="72"/>
      <c r="B59" s="73"/>
      <c r="C59" s="74" t="s">
        <v>56</v>
      </c>
      <c r="D59" s="75">
        <f>+D58+D56</f>
        <v>28437.412535910571</v>
      </c>
      <c r="E59" s="76">
        <f>+E58+E56</f>
        <v>13301.289924557359</v>
      </c>
      <c r="F59" s="332">
        <f>+F58+F56</f>
        <v>0</v>
      </c>
      <c r="G59" s="75">
        <f>+G58+G56</f>
        <v>739.3727259336747</v>
      </c>
      <c r="H59" s="46">
        <f>SUM(D59:G59)-E59</f>
        <v>29176.785261844248</v>
      </c>
      <c r="J59" s="47"/>
    </row>
    <row r="60" spans="1:10" s="40" customFormat="1">
      <c r="A60" s="59"/>
      <c r="B60" s="60"/>
      <c r="C60" s="60"/>
      <c r="D60" s="61"/>
      <c r="E60" s="62"/>
      <c r="F60" s="330"/>
      <c r="G60" s="61"/>
      <c r="H60" s="53"/>
    </row>
    <row r="61" spans="1:10" s="40" customFormat="1">
      <c r="A61" s="59" t="s">
        <v>57</v>
      </c>
      <c r="B61" s="60"/>
      <c r="C61" s="60"/>
      <c r="D61" s="61"/>
      <c r="E61" s="62"/>
      <c r="F61" s="61"/>
      <c r="G61" s="61"/>
      <c r="H61" s="53"/>
    </row>
    <row r="62" spans="1:10" s="40" customFormat="1" ht="31.5">
      <c r="A62" s="33">
        <f>+A55+1</f>
        <v>7</v>
      </c>
      <c r="B62" s="77" t="s">
        <v>458</v>
      </c>
      <c r="C62" s="35" t="s">
        <v>143</v>
      </c>
      <c r="D62" s="36"/>
      <c r="E62" s="37"/>
      <c r="F62" s="36"/>
      <c r="G62" s="459"/>
      <c r="H62" s="78">
        <f>SUM(D62:G62)</f>
        <v>0</v>
      </c>
    </row>
    <row r="63" spans="1:10" s="40" customFormat="1">
      <c r="A63" s="33"/>
      <c r="B63" s="77"/>
      <c r="C63" s="35"/>
      <c r="D63" s="36"/>
      <c r="E63" s="37"/>
      <c r="F63" s="36"/>
      <c r="G63" s="79"/>
      <c r="H63" s="78">
        <f>SUM(D63:G63)</f>
        <v>0</v>
      </c>
      <c r="J63" s="58"/>
    </row>
    <row r="64" spans="1:10" s="40" customFormat="1" ht="21" customHeight="1">
      <c r="A64" s="80">
        <f>+A62+1</f>
        <v>8</v>
      </c>
      <c r="B64" s="77" t="s">
        <v>458</v>
      </c>
      <c r="C64" s="81" t="s">
        <v>58</v>
      </c>
      <c r="D64" s="82"/>
      <c r="E64" s="83"/>
      <c r="F64" s="82"/>
      <c r="G64" s="84"/>
      <c r="H64" s="85">
        <f>SUM(D64:G64)</f>
        <v>0</v>
      </c>
    </row>
    <row r="65" spans="1:15" s="40" customFormat="1" ht="16.5" thickBot="1">
      <c r="A65" s="33"/>
      <c r="B65" s="57"/>
      <c r="C65" s="44" t="s">
        <v>59</v>
      </c>
      <c r="D65" s="38"/>
      <c r="E65" s="37"/>
      <c r="F65" s="36"/>
      <c r="G65" s="36">
        <f>SUM(G62:G64)</f>
        <v>0</v>
      </c>
      <c r="H65" s="39">
        <f>SUM(D65:G65)-E65</f>
        <v>0</v>
      </c>
    </row>
    <row r="66" spans="1:15" s="40" customFormat="1" ht="32.25" hidden="1" customHeight="1" thickBot="1">
      <c r="A66" s="86"/>
      <c r="B66" s="87"/>
      <c r="C66" s="88" t="s">
        <v>60</v>
      </c>
      <c r="D66" s="89"/>
      <c r="E66" s="90"/>
      <c r="F66" s="89"/>
      <c r="G66" s="91"/>
      <c r="H66" s="92">
        <f>SUM(G66)</f>
        <v>0</v>
      </c>
    </row>
    <row r="67" spans="1:15" ht="17.25" thickTop="1" thickBot="1">
      <c r="A67" s="93"/>
      <c r="B67" s="791" t="s">
        <v>61</v>
      </c>
      <c r="C67" s="792"/>
      <c r="D67" s="94">
        <f>D59+D65</f>
        <v>28437.412535910571</v>
      </c>
      <c r="E67" s="95">
        <f>E59+E65</f>
        <v>13301.289924557359</v>
      </c>
      <c r="F67" s="95">
        <f>F59+F65</f>
        <v>0</v>
      </c>
      <c r="G67" s="94">
        <f>G59+G65+G66</f>
        <v>739.3727259336747</v>
      </c>
      <c r="H67" s="94">
        <f>H59+H65+H66</f>
        <v>29176.785261844248</v>
      </c>
      <c r="I67" s="96">
        <f>+D67+G67+F67</f>
        <v>29176.785261844245</v>
      </c>
      <c r="J67" s="96"/>
    </row>
    <row r="68" spans="1:15" ht="16.5" hidden="1" thickTop="1">
      <c r="A68" s="97"/>
      <c r="B68" s="97"/>
      <c r="C68" s="98"/>
      <c r="D68" s="99"/>
      <c r="E68" s="99"/>
      <c r="F68" s="99"/>
      <c r="G68" s="99"/>
      <c r="H68" s="100"/>
    </row>
    <row r="69" spans="1:15" ht="15.75" hidden="1" customHeight="1">
      <c r="A69" s="97"/>
      <c r="B69" s="97"/>
      <c r="C69" s="98"/>
      <c r="D69" s="99"/>
      <c r="E69" s="99"/>
      <c r="F69" s="99"/>
      <c r="G69" s="99"/>
      <c r="H69" s="100"/>
    </row>
    <row r="70" spans="1:15" ht="16.5" thickTop="1">
      <c r="A70" s="97"/>
      <c r="B70" s="97"/>
      <c r="C70" s="98"/>
      <c r="D70" s="99"/>
      <c r="E70" s="99"/>
      <c r="F70" s="99"/>
      <c r="G70" s="99"/>
      <c r="H70" s="100"/>
      <c r="J70" s="101"/>
      <c r="K70" s="101"/>
      <c r="L70" s="101"/>
      <c r="M70" s="101"/>
      <c r="N70" s="101"/>
      <c r="O70" s="101"/>
    </row>
    <row r="71" spans="1:15">
      <c r="B71" s="313"/>
      <c r="C71" s="102" t="s">
        <v>62</v>
      </c>
      <c r="D71" s="103"/>
      <c r="E71" s="104"/>
      <c r="F71" s="103" t="s">
        <v>144</v>
      </c>
      <c r="G71" s="313"/>
      <c r="H71" s="313"/>
      <c r="I71" s="96"/>
      <c r="J71" s="105"/>
      <c r="K71" s="106"/>
      <c r="L71" s="106"/>
      <c r="M71" s="101"/>
      <c r="N71" s="101"/>
      <c r="O71" s="101"/>
    </row>
    <row r="72" spans="1:15">
      <c r="A72" s="107"/>
      <c r="B72" s="107"/>
      <c r="C72" s="108"/>
      <c r="E72" s="8"/>
      <c r="G72" s="107"/>
      <c r="H72" s="107"/>
      <c r="J72" s="333"/>
      <c r="K72" s="106"/>
      <c r="L72" s="106"/>
      <c r="M72" s="101"/>
      <c r="N72" s="101"/>
      <c r="O72" s="101"/>
    </row>
    <row r="73" spans="1:15">
      <c r="A73" s="107"/>
      <c r="B73" s="107"/>
      <c r="C73" s="108"/>
      <c r="E73" s="8"/>
      <c r="G73" s="107"/>
      <c r="H73" s="107"/>
      <c r="J73" s="333"/>
      <c r="K73" s="106"/>
      <c r="L73" s="106"/>
      <c r="M73" s="101"/>
      <c r="N73" s="101"/>
      <c r="O73" s="101"/>
    </row>
    <row r="74" spans="1:15">
      <c r="C74" s="108"/>
      <c r="D74" s="109"/>
      <c r="E74" s="110"/>
      <c r="J74" s="333"/>
      <c r="K74" s="106"/>
      <c r="L74" s="106"/>
      <c r="M74" s="101"/>
      <c r="N74" s="101"/>
      <c r="O74" s="101"/>
    </row>
    <row r="75" spans="1:15">
      <c r="D75" s="111"/>
      <c r="E75" s="110"/>
      <c r="F75" s="96"/>
      <c r="G75" s="111"/>
      <c r="H75" s="96"/>
      <c r="J75" s="334"/>
      <c r="K75" s="101"/>
      <c r="L75" s="101"/>
      <c r="M75" s="101"/>
      <c r="N75" s="101"/>
      <c r="O75" s="101"/>
    </row>
    <row r="76" spans="1:15">
      <c r="E76" s="112"/>
      <c r="J76" s="101"/>
      <c r="K76" s="101"/>
      <c r="L76" s="101"/>
      <c r="M76" s="101"/>
      <c r="N76" s="101"/>
      <c r="O76" s="101"/>
    </row>
    <row r="77" spans="1:15">
      <c r="J77" s="101"/>
      <c r="K77" s="101"/>
      <c r="L77" s="101"/>
      <c r="M77" s="101"/>
      <c r="N77" s="101"/>
      <c r="O77" s="101"/>
    </row>
    <row r="78" spans="1:15">
      <c r="J78" s="101"/>
      <c r="K78" s="101"/>
      <c r="L78" s="101"/>
      <c r="M78" s="101"/>
      <c r="N78" s="101"/>
      <c r="O78" s="101"/>
    </row>
    <row r="79" spans="1:15">
      <c r="D79" s="108"/>
      <c r="E79" s="110"/>
    </row>
  </sheetData>
  <mergeCells count="9">
    <mergeCell ref="B67:C67"/>
    <mergeCell ref="C5:F5"/>
    <mergeCell ref="B7:C7"/>
    <mergeCell ref="D7:F7"/>
    <mergeCell ref="A11:H11"/>
    <mergeCell ref="A14:A15"/>
    <mergeCell ref="B14:B15"/>
    <mergeCell ref="C14:C15"/>
    <mergeCell ref="D14:H14"/>
  </mergeCells>
  <printOptions horizontalCentered="1"/>
  <pageMargins left="0" right="0" top="1" bottom="0" header="0.31496062992126" footer="0.118110236220472"/>
  <pageSetup paperSize="9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V138"/>
  <sheetViews>
    <sheetView view="pageBreakPreview" topLeftCell="A85" zoomScale="115" zoomScaleNormal="115" zoomScaleSheetLayoutView="115" workbookViewId="0">
      <selection activeCell="X95" sqref="X95"/>
    </sheetView>
  </sheetViews>
  <sheetFormatPr defaultRowHeight="15"/>
  <cols>
    <col min="1" max="1" width="3.42578125" style="659" customWidth="1"/>
    <col min="2" max="2" width="8.140625" style="167" customWidth="1"/>
    <col min="3" max="3" width="34" style="522" customWidth="1"/>
    <col min="4" max="4" width="5.85546875" style="169" customWidth="1"/>
    <col min="5" max="5" width="6.28515625" style="641" customWidth="1"/>
    <col min="6" max="7" width="2.140625" style="169" customWidth="1"/>
    <col min="8" max="8" width="2.28515625" style="169" customWidth="1"/>
    <col min="9" max="9" width="1.85546875" style="169" customWidth="1"/>
    <col min="10" max="10" width="2.140625" style="169" customWidth="1"/>
    <col min="11" max="11" width="2.42578125" style="169" customWidth="1"/>
    <col min="12" max="12" width="22.42578125" style="613" customWidth="1"/>
    <col min="13" max="13" width="4.140625" style="169" customWidth="1"/>
    <col min="14" max="14" width="5.5703125" style="641" customWidth="1"/>
    <col min="15" max="15" width="7.5703125" style="641" customWidth="1"/>
    <col min="16" max="16" width="6.85546875" style="641" customWidth="1"/>
    <col min="17" max="17" width="5.28515625" style="169" customWidth="1"/>
    <col min="18" max="18" width="5.5703125" style="169" customWidth="1"/>
    <col min="19" max="19" width="5.42578125" style="169" customWidth="1"/>
    <col min="20" max="20" width="7.42578125" style="169" customWidth="1"/>
    <col min="21" max="21" width="7.28515625" style="649" customWidth="1"/>
    <col min="22" max="23" width="0" style="159" hidden="1" customWidth="1"/>
    <col min="24" max="24" width="25.42578125" style="159" customWidth="1"/>
    <col min="25" max="25" width="15.140625" style="159" bestFit="1" customWidth="1"/>
    <col min="26" max="26" width="21.140625" style="159" bestFit="1" customWidth="1"/>
    <col min="27" max="27" width="17" style="159" bestFit="1" customWidth="1"/>
    <col min="28" max="28" width="18.42578125" style="159" bestFit="1" customWidth="1"/>
    <col min="29" max="29" width="19.28515625" style="159" bestFit="1" customWidth="1"/>
    <col min="30" max="35" width="11.7109375" style="159" customWidth="1"/>
    <col min="36" max="16384" width="9.140625" style="159"/>
  </cols>
  <sheetData>
    <row r="1" spans="1:35" s="116" customFormat="1" ht="38.25" customHeight="1">
      <c r="A1" s="929" t="s">
        <v>63</v>
      </c>
      <c r="B1" s="929"/>
      <c r="C1" s="929"/>
      <c r="D1" s="930" t="s">
        <v>460</v>
      </c>
      <c r="E1" s="930"/>
      <c r="F1" s="930"/>
      <c r="G1" s="930"/>
      <c r="H1" s="930"/>
      <c r="I1" s="930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642"/>
      <c r="U1" s="626"/>
      <c r="V1" s="115"/>
      <c r="W1" s="115"/>
      <c r="Y1" s="117" t="s">
        <v>64</v>
      </c>
      <c r="Z1" s="117" t="s">
        <v>65</v>
      </c>
      <c r="AA1" s="117" t="s">
        <v>66</v>
      </c>
      <c r="AB1" s="117" t="s">
        <v>67</v>
      </c>
      <c r="AC1" s="117" t="s">
        <v>68</v>
      </c>
      <c r="AD1" s="117" t="s">
        <v>69</v>
      </c>
      <c r="AE1" s="117" t="s">
        <v>70</v>
      </c>
      <c r="AF1" s="117" t="s">
        <v>71</v>
      </c>
      <c r="AG1" s="117" t="s">
        <v>72</v>
      </c>
      <c r="AH1" s="117" t="s">
        <v>73</v>
      </c>
      <c r="AI1" s="117" t="s">
        <v>74</v>
      </c>
    </row>
    <row r="2" spans="1:35" s="116" customFormat="1" ht="3" customHeight="1">
      <c r="A2" s="929"/>
      <c r="B2" s="929"/>
      <c r="C2" s="929"/>
      <c r="D2" s="127"/>
      <c r="E2" s="465"/>
      <c r="F2" s="118"/>
      <c r="G2" s="118"/>
      <c r="H2" s="118"/>
      <c r="I2" s="118"/>
      <c r="J2" s="118"/>
      <c r="K2" s="118"/>
      <c r="L2" s="605"/>
      <c r="M2" s="118"/>
      <c r="N2" s="353"/>
      <c r="O2" s="353"/>
      <c r="P2" s="353"/>
      <c r="Q2" s="353"/>
      <c r="R2" s="353"/>
      <c r="S2" s="353"/>
      <c r="T2" s="642"/>
      <c r="U2" s="626"/>
      <c r="V2" s="115"/>
      <c r="W2" s="115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</row>
    <row r="3" spans="1:35" s="116" customFormat="1" ht="12.75" hidden="1">
      <c r="A3" s="124"/>
      <c r="B3" s="123"/>
      <c r="C3" s="124"/>
      <c r="D3" s="353"/>
      <c r="E3" s="353"/>
      <c r="F3" s="353"/>
      <c r="G3" s="353"/>
      <c r="H3" s="353"/>
      <c r="I3" s="353"/>
      <c r="J3" s="353"/>
      <c r="K3" s="353"/>
      <c r="L3" s="606"/>
      <c r="M3" s="353"/>
      <c r="N3" s="353"/>
      <c r="O3" s="353"/>
      <c r="P3" s="353"/>
      <c r="Q3" s="353"/>
      <c r="R3" s="353"/>
      <c r="S3" s="353"/>
      <c r="T3" s="353"/>
      <c r="U3" s="626"/>
      <c r="V3" s="115"/>
      <c r="W3" s="115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</row>
    <row r="4" spans="1:35" s="132" customFormat="1" ht="15.75">
      <c r="A4" s="651"/>
      <c r="B4" s="126"/>
      <c r="C4" s="124"/>
      <c r="D4" s="634"/>
      <c r="E4" s="465" t="s">
        <v>75</v>
      </c>
      <c r="F4" s="465"/>
      <c r="G4" s="127"/>
      <c r="H4" s="127"/>
      <c r="I4" s="127"/>
      <c r="J4" s="127"/>
      <c r="K4" s="127"/>
      <c r="L4" s="607"/>
      <c r="M4" s="643" t="s">
        <v>76</v>
      </c>
      <c r="N4" s="644"/>
      <c r="O4" s="644"/>
      <c r="P4" s="634"/>
      <c r="Q4" s="634"/>
      <c r="R4" s="634"/>
      <c r="S4" s="634"/>
      <c r="T4" s="634"/>
      <c r="U4" s="645"/>
      <c r="V4" s="128"/>
      <c r="W4" s="128"/>
      <c r="X4" s="129" t="s">
        <v>77</v>
      </c>
      <c r="Y4" s="130">
        <v>5.72</v>
      </c>
      <c r="Z4" s="130">
        <v>6.15</v>
      </c>
      <c r="AA4" s="131">
        <v>7</v>
      </c>
      <c r="AB4" s="130">
        <v>6.79</v>
      </c>
      <c r="AC4" s="130">
        <v>6.57</v>
      </c>
      <c r="AD4" s="130">
        <v>8.98</v>
      </c>
      <c r="AE4" s="130">
        <v>7.61</v>
      </c>
      <c r="AF4" s="130">
        <v>8.93</v>
      </c>
      <c r="AG4" s="130">
        <v>8.8000000000000007</v>
      </c>
      <c r="AH4" s="130">
        <v>12.9</v>
      </c>
      <c r="AI4" s="130">
        <v>13.2</v>
      </c>
    </row>
    <row r="5" spans="1:35" s="138" customFormat="1" ht="2.25" customHeight="1">
      <c r="A5" s="124"/>
      <c r="B5" s="134"/>
      <c r="C5" s="124"/>
      <c r="D5" s="353"/>
      <c r="E5" s="353"/>
      <c r="F5" s="353"/>
      <c r="G5" s="353"/>
      <c r="H5" s="353"/>
      <c r="I5" s="353"/>
      <c r="J5" s="353"/>
      <c r="K5" s="353"/>
      <c r="L5" s="606"/>
      <c r="M5" s="353"/>
      <c r="N5" s="353"/>
      <c r="O5" s="353"/>
      <c r="P5" s="353"/>
      <c r="Q5" s="353"/>
      <c r="R5" s="353"/>
      <c r="S5" s="353"/>
      <c r="T5" s="353"/>
      <c r="U5" s="626"/>
      <c r="V5" s="136"/>
      <c r="W5" s="136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</row>
    <row r="6" spans="1:35" s="138" customFormat="1" ht="13.5" customHeight="1">
      <c r="A6" s="124"/>
      <c r="B6" s="134"/>
      <c r="C6" s="124"/>
      <c r="D6" s="127"/>
      <c r="E6" s="931" t="s">
        <v>330</v>
      </c>
      <c r="F6" s="931"/>
      <c r="G6" s="931"/>
      <c r="H6" s="931"/>
      <c r="I6" s="931"/>
      <c r="J6" s="931"/>
      <c r="K6" s="931"/>
      <c r="L6" s="931"/>
      <c r="M6" s="931"/>
      <c r="N6" s="931"/>
      <c r="O6" s="931"/>
      <c r="P6" s="931"/>
      <c r="Q6" s="931"/>
      <c r="R6" s="931"/>
      <c r="S6" s="353"/>
      <c r="T6" s="353"/>
      <c r="U6" s="626"/>
      <c r="V6" s="136"/>
      <c r="X6" s="129" t="s">
        <v>78</v>
      </c>
      <c r="Y6" s="139">
        <f t="shared" ref="Y6:AI6" si="0">1.02*1.05*(1+Y4/100)</f>
        <v>1.1322612000000001</v>
      </c>
      <c r="Z6" s="139">
        <f t="shared" si="0"/>
        <v>1.1368665000000002</v>
      </c>
      <c r="AA6" s="139">
        <f t="shared" si="0"/>
        <v>1.1459700000000002</v>
      </c>
      <c r="AB6" s="139">
        <f t="shared" si="0"/>
        <v>1.1437209000000004</v>
      </c>
      <c r="AC6" s="139">
        <f t="shared" si="0"/>
        <v>1.1413647000000002</v>
      </c>
      <c r="AD6" s="139">
        <f t="shared" si="0"/>
        <v>1.1671758000000003</v>
      </c>
      <c r="AE6" s="139">
        <f t="shared" si="0"/>
        <v>1.1525031000000003</v>
      </c>
      <c r="AF6" s="139">
        <f t="shared" si="0"/>
        <v>1.1666403000000001</v>
      </c>
      <c r="AG6" s="139">
        <f t="shared" si="0"/>
        <v>1.1652480000000003</v>
      </c>
      <c r="AH6" s="139">
        <f t="shared" si="0"/>
        <v>1.2091590000000001</v>
      </c>
      <c r="AI6" s="139">
        <f t="shared" si="0"/>
        <v>1.2123720000000002</v>
      </c>
    </row>
    <row r="7" spans="1:35" s="138" customFormat="1" ht="12" customHeight="1">
      <c r="A7" s="124"/>
      <c r="B7" s="134"/>
      <c r="C7" s="124"/>
      <c r="D7" s="353"/>
      <c r="E7" s="932"/>
      <c r="F7" s="932"/>
      <c r="G7" s="932"/>
      <c r="H7" s="932"/>
      <c r="I7" s="932"/>
      <c r="J7" s="932"/>
      <c r="K7" s="932"/>
      <c r="L7" s="932"/>
      <c r="M7" s="932"/>
      <c r="N7" s="932"/>
      <c r="O7" s="932"/>
      <c r="P7" s="932"/>
      <c r="Q7" s="932"/>
      <c r="R7" s="932"/>
      <c r="S7" s="353"/>
      <c r="T7" s="353"/>
      <c r="U7" s="626"/>
      <c r="V7" s="136"/>
    </row>
    <row r="8" spans="1:35" s="138" customFormat="1" ht="0.75" customHeight="1">
      <c r="A8" s="124"/>
      <c r="B8" s="134"/>
      <c r="C8" s="124"/>
      <c r="D8" s="635"/>
      <c r="E8" s="353"/>
      <c r="F8" s="353"/>
      <c r="G8" s="353"/>
      <c r="H8" s="353"/>
      <c r="I8" s="353"/>
      <c r="J8" s="353"/>
      <c r="K8" s="353"/>
      <c r="L8" s="606"/>
      <c r="M8" s="353"/>
      <c r="N8" s="353"/>
      <c r="O8" s="353"/>
      <c r="P8" s="353"/>
      <c r="Q8" s="353"/>
      <c r="R8" s="635"/>
      <c r="S8" s="353"/>
      <c r="T8" s="353"/>
      <c r="U8" s="626"/>
      <c r="V8" s="136"/>
    </row>
    <row r="9" spans="1:35" s="138" customFormat="1" ht="12.75">
      <c r="A9" s="933" t="s">
        <v>79</v>
      </c>
      <c r="B9" s="933"/>
      <c r="C9" s="124" t="s">
        <v>174</v>
      </c>
      <c r="D9" s="353"/>
      <c r="E9" s="353"/>
      <c r="F9" s="353"/>
      <c r="G9" s="353"/>
      <c r="H9" s="353"/>
      <c r="I9" s="353"/>
      <c r="J9" s="353"/>
      <c r="K9" s="353"/>
      <c r="L9" s="606"/>
      <c r="M9" s="353"/>
      <c r="N9" s="353"/>
      <c r="O9" s="127" t="s">
        <v>80</v>
      </c>
      <c r="P9" s="934">
        <f>+T136</f>
        <v>22443.169604756375</v>
      </c>
      <c r="Q9" s="934"/>
      <c r="R9" s="934"/>
      <c r="S9" s="353" t="s">
        <v>25</v>
      </c>
      <c r="T9" s="353"/>
      <c r="U9" s="626"/>
      <c r="V9" s="136"/>
    </row>
    <row r="10" spans="1:35" s="138" customFormat="1" ht="4.5" customHeight="1">
      <c r="A10" s="652"/>
      <c r="B10" s="144"/>
      <c r="C10" s="145"/>
      <c r="D10" s="636"/>
      <c r="E10" s="935"/>
      <c r="F10" s="935"/>
      <c r="G10" s="935"/>
      <c r="H10" s="353"/>
      <c r="I10" s="353"/>
      <c r="J10" s="353"/>
      <c r="K10" s="353"/>
      <c r="L10" s="606"/>
      <c r="M10" s="353"/>
      <c r="N10" s="353"/>
      <c r="O10" s="127"/>
      <c r="P10" s="934"/>
      <c r="Q10" s="934"/>
      <c r="R10" s="934"/>
      <c r="S10" s="353"/>
      <c r="T10" s="353"/>
      <c r="U10" s="626"/>
      <c r="V10" s="136"/>
    </row>
    <row r="11" spans="1:35" s="138" customFormat="1" ht="12.75">
      <c r="A11" s="653" t="s">
        <v>81</v>
      </c>
      <c r="B11" s="148"/>
      <c r="C11" s="149"/>
      <c r="D11" s="901">
        <v>252984</v>
      </c>
      <c r="E11" s="901"/>
      <c r="F11" s="901"/>
      <c r="G11" s="232"/>
      <c r="H11" s="233"/>
      <c r="I11" s="233" t="s">
        <v>82</v>
      </c>
      <c r="J11" s="232"/>
      <c r="K11" s="232"/>
      <c r="L11" s="614" t="s">
        <v>83</v>
      </c>
      <c r="M11" s="231" t="s">
        <v>84</v>
      </c>
      <c r="N11" s="902">
        <v>1.1525031000000003</v>
      </c>
      <c r="O11" s="902"/>
      <c r="P11" s="902"/>
      <c r="Q11" s="233"/>
      <c r="R11" s="231"/>
      <c r="S11" s="233"/>
      <c r="T11" s="233"/>
      <c r="U11" s="216"/>
      <c r="V11" s="152"/>
    </row>
    <row r="12" spans="1:35" s="138" customFormat="1" ht="7.5" customHeight="1">
      <c r="A12" s="653"/>
      <c r="B12" s="148"/>
      <c r="C12" s="153"/>
      <c r="D12" s="232"/>
      <c r="E12" s="231"/>
      <c r="F12" s="231"/>
      <c r="G12" s="232"/>
      <c r="H12" s="233"/>
      <c r="I12" s="233"/>
      <c r="J12" s="232"/>
      <c r="K12" s="232"/>
      <c r="L12" s="614"/>
      <c r="M12" s="233"/>
      <c r="N12" s="646"/>
      <c r="O12" s="233"/>
      <c r="P12" s="233"/>
      <c r="Q12" s="233"/>
      <c r="R12" s="231"/>
      <c r="S12" s="233"/>
      <c r="T12" s="233"/>
      <c r="U12" s="216"/>
      <c r="V12" s="152"/>
    </row>
    <row r="13" spans="1:35" s="138" customFormat="1" ht="14.25" customHeight="1" thickBot="1">
      <c r="A13" s="903" t="s">
        <v>85</v>
      </c>
      <c r="B13" s="904"/>
      <c r="C13" s="904"/>
      <c r="D13" s="637"/>
      <c r="E13" s="905" t="s">
        <v>86</v>
      </c>
      <c r="F13" s="905"/>
      <c r="G13" s="905"/>
      <c r="H13" s="905"/>
      <c r="I13" s="905"/>
      <c r="J13" s="906">
        <v>2337</v>
      </c>
      <c r="K13" s="906"/>
      <c r="L13" s="906"/>
      <c r="M13" s="905" t="s">
        <v>87</v>
      </c>
      <c r="N13" s="905"/>
      <c r="O13" s="905"/>
      <c r="P13" s="905"/>
      <c r="Q13" s="936">
        <v>3222.81</v>
      </c>
      <c r="R13" s="937"/>
      <c r="S13" s="937"/>
      <c r="T13" s="627"/>
      <c r="U13" s="628"/>
      <c r="V13" s="152"/>
    </row>
    <row r="14" spans="1:35" s="116" customFormat="1" ht="2.25" customHeight="1" thickTop="1" thickBot="1">
      <c r="A14" s="153"/>
      <c r="B14" s="180"/>
      <c r="C14" s="153"/>
      <c r="D14" s="353"/>
      <c r="E14" s="353"/>
      <c r="F14" s="353"/>
      <c r="G14" s="353"/>
      <c r="H14" s="353"/>
      <c r="I14" s="910"/>
      <c r="J14" s="910"/>
      <c r="K14" s="910"/>
      <c r="L14" s="606"/>
      <c r="M14" s="353"/>
      <c r="N14" s="353"/>
      <c r="O14" s="353"/>
      <c r="P14" s="353"/>
      <c r="Q14" s="353"/>
      <c r="R14" s="635"/>
      <c r="S14" s="353"/>
      <c r="T14" s="233"/>
      <c r="U14" s="216">
        <f>+D11/35000*7.5</f>
        <v>54.210857142857144</v>
      </c>
      <c r="V14" s="183"/>
      <c r="X14" s="184"/>
      <c r="Y14" s="185"/>
      <c r="Z14" s="185"/>
      <c r="AA14" s="185"/>
      <c r="AB14" s="185"/>
      <c r="AC14" s="185"/>
      <c r="AD14" s="185"/>
      <c r="AE14" s="186"/>
    </row>
    <row r="15" spans="1:35" s="154" customFormat="1" ht="18" customHeight="1" thickTop="1">
      <c r="A15" s="907" t="s">
        <v>88</v>
      </c>
      <c r="B15" s="911" t="s">
        <v>89</v>
      </c>
      <c r="C15" s="914" t="s">
        <v>90</v>
      </c>
      <c r="D15" s="917" t="s">
        <v>91</v>
      </c>
      <c r="E15" s="917" t="s">
        <v>92</v>
      </c>
      <c r="F15" s="920" t="s">
        <v>93</v>
      </c>
      <c r="G15" s="921"/>
      <c r="H15" s="922"/>
      <c r="I15" s="920" t="s">
        <v>94</v>
      </c>
      <c r="J15" s="944"/>
      <c r="K15" s="945"/>
      <c r="L15" s="952" t="s">
        <v>95</v>
      </c>
      <c r="M15" s="953"/>
      <c r="N15" s="953"/>
      <c r="O15" s="953"/>
      <c r="P15" s="953"/>
      <c r="Q15" s="954"/>
      <c r="R15" s="917" t="s">
        <v>331</v>
      </c>
      <c r="S15" s="917" t="s">
        <v>97</v>
      </c>
      <c r="T15" s="940" t="s">
        <v>98</v>
      </c>
      <c r="U15" s="938" t="s">
        <v>99</v>
      </c>
      <c r="V15" s="187"/>
      <c r="X15" s="188" t="s">
        <v>100</v>
      </c>
      <c r="Y15" s="189" t="s">
        <v>101</v>
      </c>
      <c r="Z15" s="189" t="s">
        <v>102</v>
      </c>
      <c r="AA15" s="189" t="s">
        <v>103</v>
      </c>
      <c r="AB15" s="189" t="s">
        <v>104</v>
      </c>
      <c r="AC15" s="189" t="s">
        <v>105</v>
      </c>
      <c r="AD15" s="189" t="s">
        <v>106</v>
      </c>
      <c r="AE15" s="190" t="s">
        <v>107</v>
      </c>
    </row>
    <row r="16" spans="1:35" s="154" customFormat="1" ht="22.5" customHeight="1" thickBot="1">
      <c r="A16" s="908"/>
      <c r="B16" s="912"/>
      <c r="C16" s="915"/>
      <c r="D16" s="918"/>
      <c r="E16" s="918"/>
      <c r="F16" s="923"/>
      <c r="G16" s="924"/>
      <c r="H16" s="925"/>
      <c r="I16" s="946"/>
      <c r="J16" s="947"/>
      <c r="K16" s="948"/>
      <c r="L16" s="955" t="s">
        <v>108</v>
      </c>
      <c r="M16" s="943" t="s">
        <v>109</v>
      </c>
      <c r="N16" s="943" t="s">
        <v>110</v>
      </c>
      <c r="O16" s="943" t="s">
        <v>111</v>
      </c>
      <c r="P16" s="943" t="s">
        <v>96</v>
      </c>
      <c r="Q16" s="943" t="s">
        <v>112</v>
      </c>
      <c r="R16" s="918"/>
      <c r="S16" s="918"/>
      <c r="T16" s="941"/>
      <c r="U16" s="939"/>
      <c r="V16" s="191"/>
      <c r="X16" s="192">
        <v>10.8</v>
      </c>
      <c r="Y16" s="193">
        <v>17.3</v>
      </c>
      <c r="Z16" s="193">
        <f>69+9.7+2.5+0.3</f>
        <v>81.5</v>
      </c>
      <c r="AA16" s="193">
        <v>0</v>
      </c>
      <c r="AB16" s="193">
        <v>51</v>
      </c>
      <c r="AC16" s="193">
        <v>1.7</v>
      </c>
      <c r="AD16" s="193">
        <v>56.9</v>
      </c>
      <c r="AE16" s="194">
        <f>+X16+Y16+(Z16+AA16-AB16-AC16-AD16)</f>
        <v>0</v>
      </c>
    </row>
    <row r="17" spans="1:256" s="154" customFormat="1" ht="22.5" customHeight="1" thickTop="1" thickBot="1">
      <c r="A17" s="908"/>
      <c r="B17" s="912"/>
      <c r="C17" s="915"/>
      <c r="D17" s="918"/>
      <c r="E17" s="918"/>
      <c r="F17" s="923"/>
      <c r="G17" s="924"/>
      <c r="H17" s="925"/>
      <c r="I17" s="946"/>
      <c r="J17" s="947"/>
      <c r="K17" s="948"/>
      <c r="L17" s="956"/>
      <c r="M17" s="918"/>
      <c r="N17" s="918"/>
      <c r="O17" s="918"/>
      <c r="P17" s="918"/>
      <c r="Q17" s="918"/>
      <c r="R17" s="918"/>
      <c r="S17" s="918"/>
      <c r="T17" s="941"/>
      <c r="U17" s="939"/>
      <c r="V17" s="191"/>
      <c r="W17" s="195"/>
      <c r="X17" s="196"/>
      <c r="Y17" s="197"/>
      <c r="Z17" s="197"/>
      <c r="AA17" s="197"/>
      <c r="AB17" s="197"/>
      <c r="AC17" s="197"/>
      <c r="AD17" s="197"/>
      <c r="AE17" s="198"/>
      <c r="AF17" s="138"/>
    </row>
    <row r="18" spans="1:256" s="154" customFormat="1" ht="22.5" customHeight="1" thickTop="1">
      <c r="A18" s="908"/>
      <c r="B18" s="912"/>
      <c r="C18" s="915"/>
      <c r="D18" s="918"/>
      <c r="E18" s="918"/>
      <c r="F18" s="923"/>
      <c r="G18" s="924"/>
      <c r="H18" s="925"/>
      <c r="I18" s="946"/>
      <c r="J18" s="947"/>
      <c r="K18" s="948"/>
      <c r="L18" s="956"/>
      <c r="M18" s="918"/>
      <c r="N18" s="918"/>
      <c r="O18" s="918"/>
      <c r="P18" s="918"/>
      <c r="Q18" s="918"/>
      <c r="R18" s="918"/>
      <c r="S18" s="918"/>
      <c r="T18" s="941"/>
      <c r="U18" s="939"/>
      <c r="V18" s="199"/>
      <c r="X18" s="188" t="s">
        <v>113</v>
      </c>
      <c r="Y18" s="189" t="s">
        <v>114</v>
      </c>
      <c r="Z18" s="189" t="s">
        <v>115</v>
      </c>
      <c r="AA18" s="189" t="s">
        <v>113</v>
      </c>
      <c r="AB18" s="189" t="s">
        <v>114</v>
      </c>
      <c r="AC18" s="190" t="s">
        <v>115</v>
      </c>
      <c r="AD18" s="197"/>
      <c r="AE18" s="198"/>
      <c r="AF18" s="200"/>
      <c r="AG18" s="200"/>
    </row>
    <row r="19" spans="1:256" s="154" customFormat="1" ht="22.5" customHeight="1">
      <c r="A19" s="909"/>
      <c r="B19" s="913"/>
      <c r="C19" s="916"/>
      <c r="D19" s="919"/>
      <c r="E19" s="919"/>
      <c r="F19" s="926"/>
      <c r="G19" s="927"/>
      <c r="H19" s="928"/>
      <c r="I19" s="949"/>
      <c r="J19" s="950"/>
      <c r="K19" s="951"/>
      <c r="L19" s="957"/>
      <c r="M19" s="919"/>
      <c r="N19" s="919"/>
      <c r="O19" s="919"/>
      <c r="P19" s="919"/>
      <c r="Q19" s="919"/>
      <c r="R19" s="919"/>
      <c r="S19" s="919"/>
      <c r="T19" s="942"/>
      <c r="U19" s="939"/>
      <c r="V19" s="199"/>
      <c r="X19" s="201">
        <v>273</v>
      </c>
      <c r="Y19" s="202">
        <v>1</v>
      </c>
      <c r="Z19" s="202">
        <f t="shared" ref="Z19:Z20" si="1">(+Y19*3.14*(X19/1000)^2)/4</f>
        <v>5.8505265000000015E-2</v>
      </c>
      <c r="AA19" s="202">
        <v>108</v>
      </c>
      <c r="AB19" s="202">
        <v>1</v>
      </c>
      <c r="AC19" s="203">
        <f>(+AB19*3.14*(AA19/1000)^2)/4</f>
        <v>9.1562399999999995E-3</v>
      </c>
      <c r="AD19" s="197"/>
      <c r="AE19" s="198"/>
      <c r="AF19" s="200"/>
      <c r="AG19" s="200"/>
    </row>
    <row r="20" spans="1:256" s="155" customFormat="1" ht="13.5" customHeight="1" thickBot="1">
      <c r="A20" s="654">
        <v>1</v>
      </c>
      <c r="B20" s="689">
        <v>2</v>
      </c>
      <c r="C20" s="205">
        <v>3</v>
      </c>
      <c r="D20" s="690">
        <v>4</v>
      </c>
      <c r="E20" s="205">
        <v>5</v>
      </c>
      <c r="F20" s="958">
        <v>6</v>
      </c>
      <c r="G20" s="959"/>
      <c r="H20" s="960"/>
      <c r="I20" s="958">
        <v>7</v>
      </c>
      <c r="J20" s="962"/>
      <c r="K20" s="963"/>
      <c r="L20" s="608">
        <v>8</v>
      </c>
      <c r="M20" s="205">
        <v>9</v>
      </c>
      <c r="N20" s="205">
        <v>10</v>
      </c>
      <c r="O20" s="205">
        <v>11</v>
      </c>
      <c r="P20" s="205">
        <v>12</v>
      </c>
      <c r="Q20" s="205">
        <v>13</v>
      </c>
      <c r="R20" s="689">
        <v>14</v>
      </c>
      <c r="S20" s="205">
        <v>15</v>
      </c>
      <c r="T20" s="205">
        <v>16</v>
      </c>
      <c r="U20" s="207">
        <v>17</v>
      </c>
      <c r="V20" s="208"/>
      <c r="X20" s="201">
        <v>219</v>
      </c>
      <c r="Y20" s="202">
        <v>1</v>
      </c>
      <c r="Z20" s="202">
        <f t="shared" si="1"/>
        <v>3.7649385E-2</v>
      </c>
      <c r="AA20" s="202">
        <v>89</v>
      </c>
      <c r="AB20" s="202">
        <v>1</v>
      </c>
      <c r="AC20" s="203">
        <f>(+AB20*3.14*(AA20/1000)^2)/4</f>
        <v>6.2179849999999997E-3</v>
      </c>
      <c r="AD20" s="197"/>
      <c r="AE20" s="198"/>
      <c r="AF20" s="156"/>
      <c r="AG20" s="156"/>
    </row>
    <row r="21" spans="1:256" s="583" customFormat="1" ht="16.5" customHeight="1" thickTop="1" thickBot="1">
      <c r="A21" s="729"/>
      <c r="B21" s="663"/>
      <c r="C21" s="650" t="s">
        <v>330</v>
      </c>
      <c r="D21" s="664"/>
      <c r="E21" s="664"/>
      <c r="F21" s="665"/>
      <c r="G21" s="638"/>
      <c r="H21" s="638"/>
      <c r="I21" s="638"/>
      <c r="J21" s="638"/>
      <c r="K21" s="638"/>
      <c r="L21" s="615"/>
      <c r="M21" s="638"/>
      <c r="N21" s="638"/>
      <c r="O21" s="638"/>
      <c r="P21" s="638"/>
      <c r="Q21" s="638"/>
      <c r="R21" s="638"/>
      <c r="S21" s="638"/>
      <c r="T21" s="638"/>
      <c r="U21" s="638"/>
      <c r="V21" s="650" t="s">
        <v>330</v>
      </c>
      <c r="W21" s="666"/>
      <c r="X21" s="666"/>
      <c r="Y21" s="666"/>
      <c r="Z21" s="666"/>
      <c r="AA21" s="666"/>
      <c r="AB21" s="666"/>
      <c r="AC21" s="666"/>
      <c r="AD21" s="666"/>
      <c r="AE21" s="666"/>
      <c r="AF21" s="582"/>
      <c r="AG21" s="582"/>
      <c r="AH21" s="582"/>
      <c r="AI21" s="582"/>
      <c r="AJ21" s="582"/>
      <c r="AK21" s="582"/>
      <c r="AL21" s="582"/>
      <c r="AM21" s="582"/>
      <c r="AN21" s="582"/>
      <c r="AO21" s="582"/>
      <c r="AP21" s="582"/>
      <c r="AQ21" s="582"/>
      <c r="AR21" s="582"/>
      <c r="AS21" s="582"/>
      <c r="AT21" s="582"/>
      <c r="AU21" s="582"/>
      <c r="AV21" s="582"/>
      <c r="AW21" s="582"/>
      <c r="AX21" s="582"/>
      <c r="AY21" s="582"/>
      <c r="AZ21" s="582"/>
      <c r="BA21" s="582"/>
      <c r="BB21" s="582"/>
      <c r="BC21" s="582"/>
      <c r="BD21" s="582"/>
      <c r="BE21" s="582"/>
      <c r="BF21" s="582"/>
      <c r="BG21" s="582"/>
      <c r="BH21" s="582"/>
      <c r="BI21" s="582"/>
      <c r="BJ21" s="582"/>
      <c r="BK21" s="582"/>
      <c r="BL21" s="582"/>
      <c r="BM21" s="582"/>
      <c r="BN21" s="582"/>
      <c r="BO21" s="582"/>
      <c r="BP21" s="582"/>
      <c r="BQ21" s="582"/>
      <c r="BR21" s="582"/>
      <c r="BS21" s="582"/>
      <c r="BT21" s="582"/>
      <c r="BU21" s="582"/>
      <c r="BV21" s="582"/>
      <c r="BW21" s="582"/>
      <c r="BX21" s="582"/>
      <c r="BY21" s="582"/>
      <c r="BZ21" s="582"/>
      <c r="CA21" s="582"/>
      <c r="CB21" s="582"/>
      <c r="CC21" s="582"/>
      <c r="CD21" s="582"/>
      <c r="CE21" s="582"/>
      <c r="CF21" s="582"/>
      <c r="CG21" s="582"/>
      <c r="CH21" s="582"/>
      <c r="CI21" s="582"/>
      <c r="CJ21" s="582"/>
      <c r="CK21" s="582"/>
      <c r="CL21" s="582"/>
      <c r="CM21" s="582"/>
      <c r="CN21" s="582"/>
      <c r="CO21" s="582"/>
      <c r="CP21" s="582"/>
      <c r="CQ21" s="582"/>
      <c r="CR21" s="582"/>
      <c r="CS21" s="582"/>
      <c r="CT21" s="582"/>
      <c r="CU21" s="582"/>
      <c r="CV21" s="582"/>
      <c r="CW21" s="582"/>
      <c r="CX21" s="582"/>
      <c r="CY21" s="582"/>
      <c r="CZ21" s="582"/>
      <c r="DA21" s="582"/>
      <c r="DB21" s="582"/>
      <c r="DC21" s="582"/>
      <c r="DD21" s="582"/>
      <c r="DE21" s="582"/>
      <c r="DF21" s="582"/>
      <c r="DG21" s="582"/>
      <c r="DH21" s="582"/>
      <c r="DI21" s="582"/>
      <c r="DJ21" s="582"/>
      <c r="DK21" s="582"/>
      <c r="DL21" s="582"/>
      <c r="DM21" s="582"/>
      <c r="DN21" s="582"/>
      <c r="DO21" s="582"/>
      <c r="DP21" s="582"/>
      <c r="DQ21" s="582"/>
      <c r="DR21" s="582"/>
      <c r="DS21" s="582"/>
      <c r="DT21" s="582"/>
      <c r="DU21" s="582"/>
      <c r="DV21" s="582"/>
      <c r="DW21" s="582"/>
      <c r="DX21" s="582"/>
      <c r="DY21" s="582"/>
      <c r="DZ21" s="582"/>
      <c r="EA21" s="582"/>
      <c r="EB21" s="582"/>
      <c r="EC21" s="582"/>
      <c r="ED21" s="582"/>
      <c r="EE21" s="582"/>
      <c r="EF21" s="582"/>
      <c r="EG21" s="582"/>
      <c r="EH21" s="582"/>
      <c r="EI21" s="582"/>
      <c r="EJ21" s="582"/>
      <c r="EK21" s="582"/>
      <c r="EL21" s="582"/>
      <c r="EM21" s="582"/>
      <c r="EN21" s="582"/>
      <c r="EO21" s="582"/>
      <c r="EP21" s="582"/>
      <c r="EQ21" s="582"/>
      <c r="ER21" s="582"/>
      <c r="ES21" s="582"/>
      <c r="ET21" s="582"/>
      <c r="EU21" s="582"/>
      <c r="EV21" s="582"/>
      <c r="EW21" s="582"/>
      <c r="EX21" s="582"/>
      <c r="EY21" s="582"/>
      <c r="EZ21" s="582"/>
      <c r="FA21" s="582"/>
      <c r="FB21" s="582"/>
      <c r="FC21" s="582"/>
      <c r="FD21" s="582"/>
      <c r="FE21" s="582"/>
      <c r="FF21" s="582"/>
      <c r="FG21" s="582"/>
      <c r="FH21" s="582"/>
      <c r="FI21" s="582"/>
      <c r="FJ21" s="582"/>
      <c r="FK21" s="582"/>
      <c r="FL21" s="582"/>
      <c r="FM21" s="582"/>
      <c r="FN21" s="582"/>
      <c r="FO21" s="582"/>
      <c r="FP21" s="582"/>
      <c r="FQ21" s="582"/>
      <c r="FR21" s="582"/>
      <c r="FS21" s="582"/>
      <c r="FT21" s="582"/>
      <c r="FU21" s="582"/>
      <c r="FV21" s="582"/>
      <c r="FW21" s="582"/>
      <c r="FX21" s="582"/>
      <c r="FY21" s="582"/>
      <c r="FZ21" s="582"/>
      <c r="GA21" s="582"/>
      <c r="GB21" s="582"/>
      <c r="GC21" s="582"/>
      <c r="GD21" s="582"/>
      <c r="GE21" s="582"/>
      <c r="GF21" s="582"/>
      <c r="GG21" s="582"/>
      <c r="GH21" s="582"/>
      <c r="GI21" s="582"/>
      <c r="GJ21" s="582"/>
      <c r="GK21" s="582"/>
      <c r="GL21" s="582"/>
      <c r="GM21" s="582"/>
      <c r="GN21" s="582"/>
      <c r="GO21" s="582"/>
      <c r="GP21" s="582"/>
      <c r="GQ21" s="582"/>
      <c r="GR21" s="582"/>
      <c r="GS21" s="582"/>
      <c r="GT21" s="582"/>
      <c r="GU21" s="582"/>
      <c r="GV21" s="582"/>
      <c r="GW21" s="582"/>
      <c r="GX21" s="582"/>
      <c r="GY21" s="582"/>
      <c r="GZ21" s="582"/>
      <c r="HA21" s="582"/>
      <c r="HB21" s="582"/>
      <c r="HC21" s="582"/>
      <c r="HD21" s="582"/>
      <c r="HE21" s="582"/>
      <c r="HF21" s="582"/>
      <c r="HG21" s="582"/>
      <c r="HH21" s="582"/>
      <c r="HI21" s="582"/>
      <c r="HJ21" s="582"/>
      <c r="HK21" s="582"/>
      <c r="HL21" s="582"/>
      <c r="HM21" s="582"/>
      <c r="HN21" s="582"/>
      <c r="HO21" s="582"/>
      <c r="HP21" s="582"/>
      <c r="HQ21" s="582"/>
      <c r="HR21" s="582"/>
      <c r="HS21" s="582"/>
      <c r="HT21" s="582"/>
      <c r="HU21" s="582"/>
      <c r="HV21" s="582"/>
      <c r="HW21" s="582"/>
      <c r="HX21" s="582"/>
      <c r="HY21" s="582"/>
      <c r="HZ21" s="582"/>
      <c r="IA21" s="582"/>
      <c r="IB21" s="582"/>
      <c r="IC21" s="582"/>
      <c r="ID21" s="582"/>
      <c r="IE21" s="582"/>
      <c r="IF21" s="582"/>
      <c r="IG21" s="582"/>
      <c r="IH21" s="582"/>
      <c r="II21" s="582"/>
      <c r="IJ21" s="582"/>
      <c r="IK21" s="582"/>
      <c r="IL21" s="582"/>
      <c r="IM21" s="582"/>
      <c r="IN21" s="582"/>
      <c r="IO21" s="582"/>
      <c r="IP21" s="582"/>
      <c r="IQ21" s="582"/>
      <c r="IR21" s="582"/>
      <c r="IS21" s="582"/>
      <c r="IT21" s="582"/>
      <c r="IU21" s="582"/>
      <c r="IV21" s="582"/>
    </row>
    <row r="22" spans="1:256" s="569" customFormat="1" ht="15.75" thickTop="1">
      <c r="A22" s="710"/>
      <c r="B22" s="588"/>
      <c r="C22" s="587" t="s">
        <v>335</v>
      </c>
      <c r="D22" s="604"/>
      <c r="E22" s="604"/>
      <c r="F22" s="588"/>
      <c r="G22" s="588"/>
      <c r="H22" s="588"/>
      <c r="I22" s="588"/>
      <c r="J22" s="588"/>
      <c r="K22" s="588"/>
      <c r="L22" s="591"/>
      <c r="M22" s="603"/>
      <c r="N22" s="603"/>
      <c r="O22" s="603"/>
      <c r="P22" s="603"/>
      <c r="Q22" s="629"/>
      <c r="R22" s="639"/>
      <c r="S22" s="639"/>
      <c r="T22" s="647"/>
      <c r="U22" s="639"/>
      <c r="V22" s="587" t="s">
        <v>335</v>
      </c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568"/>
      <c r="AM22" s="568"/>
      <c r="AN22" s="568"/>
      <c r="AO22" s="568"/>
      <c r="AP22" s="568"/>
      <c r="AQ22" s="568"/>
      <c r="AR22" s="568"/>
      <c r="AS22" s="568"/>
      <c r="AT22" s="568"/>
      <c r="AU22" s="568"/>
      <c r="AV22" s="568"/>
      <c r="AW22" s="568"/>
      <c r="AX22" s="568"/>
      <c r="AY22" s="568"/>
      <c r="AZ22" s="568"/>
      <c r="BA22" s="568"/>
      <c r="BB22" s="568"/>
      <c r="BC22" s="568"/>
      <c r="BD22" s="568"/>
      <c r="BE22" s="568"/>
      <c r="BF22" s="568"/>
      <c r="BG22" s="568"/>
      <c r="BH22" s="568"/>
      <c r="BI22" s="568"/>
      <c r="BJ22" s="568"/>
      <c r="BK22" s="568"/>
      <c r="BL22" s="568"/>
      <c r="BM22" s="568"/>
      <c r="BN22" s="568"/>
      <c r="BO22" s="568"/>
      <c r="BP22" s="568"/>
      <c r="BQ22" s="568"/>
      <c r="BR22" s="568"/>
      <c r="BS22" s="568"/>
      <c r="BT22" s="568"/>
      <c r="BU22" s="568"/>
      <c r="BV22" s="568"/>
      <c r="BW22" s="568"/>
      <c r="BX22" s="568"/>
      <c r="BY22" s="568"/>
      <c r="BZ22" s="568"/>
      <c r="CA22" s="568"/>
      <c r="CB22" s="568"/>
      <c r="CC22" s="568"/>
      <c r="CD22" s="568"/>
      <c r="CE22" s="568"/>
      <c r="CF22" s="568"/>
      <c r="CG22" s="568"/>
      <c r="CH22" s="568"/>
      <c r="CI22" s="568"/>
      <c r="CJ22" s="568"/>
      <c r="CK22" s="568"/>
      <c r="CL22" s="568"/>
      <c r="CM22" s="568"/>
      <c r="CN22" s="568"/>
      <c r="CO22" s="568"/>
      <c r="CP22" s="568"/>
      <c r="CQ22" s="568"/>
      <c r="CR22" s="568"/>
      <c r="CS22" s="568"/>
      <c r="CT22" s="568"/>
      <c r="CU22" s="568"/>
      <c r="CV22" s="568"/>
      <c r="CW22" s="568"/>
      <c r="CX22" s="568"/>
      <c r="CY22" s="568"/>
      <c r="CZ22" s="568"/>
      <c r="DA22" s="568"/>
      <c r="DB22" s="568"/>
      <c r="DC22" s="568"/>
      <c r="DD22" s="568"/>
      <c r="DE22" s="568"/>
      <c r="DF22" s="568"/>
      <c r="DG22" s="568"/>
      <c r="DH22" s="568"/>
      <c r="DI22" s="568"/>
      <c r="DJ22" s="568"/>
      <c r="DK22" s="568"/>
      <c r="DL22" s="568"/>
      <c r="DM22" s="568"/>
      <c r="DN22" s="568"/>
      <c r="DO22" s="568"/>
      <c r="DP22" s="568"/>
      <c r="DQ22" s="568"/>
      <c r="DR22" s="568"/>
      <c r="DS22" s="568"/>
      <c r="DT22" s="568"/>
      <c r="DU22" s="568"/>
      <c r="DV22" s="568"/>
      <c r="DW22" s="568"/>
      <c r="DX22" s="568"/>
      <c r="DY22" s="568"/>
      <c r="DZ22" s="568"/>
      <c r="EA22" s="568"/>
      <c r="EB22" s="568"/>
      <c r="EC22" s="568"/>
      <c r="ED22" s="568"/>
      <c r="EE22" s="568"/>
      <c r="EF22" s="568"/>
      <c r="EG22" s="568"/>
      <c r="EH22" s="568"/>
      <c r="EI22" s="568"/>
      <c r="EJ22" s="568"/>
      <c r="EK22" s="568"/>
      <c r="EL22" s="568"/>
      <c r="EM22" s="568"/>
      <c r="EN22" s="568"/>
      <c r="EO22" s="568"/>
      <c r="EP22" s="568"/>
      <c r="EQ22" s="568"/>
      <c r="ER22" s="568"/>
      <c r="ES22" s="568"/>
      <c r="ET22" s="568"/>
      <c r="EU22" s="568"/>
      <c r="EV22" s="568"/>
      <c r="EW22" s="568"/>
      <c r="EX22" s="568"/>
      <c r="EY22" s="568"/>
      <c r="EZ22" s="568"/>
      <c r="FA22" s="568"/>
      <c r="FB22" s="568"/>
      <c r="FC22" s="568"/>
      <c r="FD22" s="568"/>
      <c r="FE22" s="568"/>
      <c r="FF22" s="568"/>
      <c r="FG22" s="568"/>
      <c r="FH22" s="568"/>
      <c r="FI22" s="568"/>
      <c r="FJ22" s="568"/>
      <c r="FK22" s="568"/>
      <c r="FL22" s="568"/>
      <c r="FM22" s="568"/>
      <c r="FN22" s="568"/>
      <c r="FO22" s="568"/>
      <c r="FP22" s="568"/>
      <c r="FQ22" s="568"/>
      <c r="FR22" s="568"/>
      <c r="FS22" s="568"/>
      <c r="FT22" s="568"/>
      <c r="FU22" s="568"/>
      <c r="FV22" s="568"/>
      <c r="FW22" s="568"/>
      <c r="FX22" s="568"/>
      <c r="FY22" s="568"/>
      <c r="FZ22" s="568"/>
      <c r="GA22" s="568"/>
      <c r="GB22" s="568"/>
      <c r="GC22" s="568"/>
      <c r="GD22" s="568"/>
      <c r="GE22" s="568"/>
      <c r="GF22" s="568"/>
      <c r="GG22" s="568"/>
      <c r="GH22" s="568"/>
      <c r="GI22" s="568"/>
      <c r="GJ22" s="568"/>
      <c r="GK22" s="568"/>
      <c r="GL22" s="568"/>
      <c r="GM22" s="568"/>
      <c r="GN22" s="568"/>
      <c r="GO22" s="568"/>
      <c r="GP22" s="568"/>
      <c r="GQ22" s="568"/>
      <c r="GR22" s="568"/>
      <c r="GS22" s="568"/>
      <c r="GT22" s="568"/>
      <c r="GU22" s="568"/>
      <c r="GV22" s="568"/>
      <c r="GW22" s="568"/>
      <c r="GX22" s="568"/>
      <c r="GY22" s="568"/>
      <c r="GZ22" s="568"/>
      <c r="HA22" s="568"/>
      <c r="HB22" s="568"/>
      <c r="HC22" s="568"/>
      <c r="HD22" s="568"/>
      <c r="HE22" s="568"/>
      <c r="HF22" s="568"/>
      <c r="HG22" s="568"/>
      <c r="HH22" s="568"/>
      <c r="HI22" s="568"/>
      <c r="HJ22" s="568"/>
      <c r="HK22" s="568"/>
      <c r="HL22" s="568"/>
      <c r="HM22" s="568"/>
      <c r="HN22" s="568"/>
      <c r="HO22" s="568"/>
      <c r="HP22" s="568"/>
      <c r="HQ22" s="568"/>
      <c r="HR22" s="568"/>
      <c r="HS22" s="568"/>
      <c r="HT22" s="568"/>
    </row>
    <row r="23" spans="1:256" s="245" customFormat="1" ht="12.75" customHeight="1">
      <c r="A23" s="817">
        <f>+A21+1</f>
        <v>1</v>
      </c>
      <c r="B23" s="830" t="s">
        <v>327</v>
      </c>
      <c r="C23" s="879" t="s">
        <v>344</v>
      </c>
      <c r="D23" s="811" t="s">
        <v>180</v>
      </c>
      <c r="E23" s="811">
        <v>490.35</v>
      </c>
      <c r="F23" s="816">
        <f>0.001*10.6</f>
        <v>1.06E-2</v>
      </c>
      <c r="G23" s="816"/>
      <c r="H23" s="816"/>
      <c r="I23" s="816">
        <f>0.001*224.4</f>
        <v>0.22440000000000002</v>
      </c>
      <c r="J23" s="816"/>
      <c r="K23" s="816"/>
      <c r="L23" s="616"/>
      <c r="M23" s="511"/>
      <c r="N23" s="511"/>
      <c r="O23" s="511"/>
      <c r="P23" s="391"/>
      <c r="Q23" s="392"/>
      <c r="R23" s="805">
        <f>F24+I24</f>
        <v>0.74797076400000007</v>
      </c>
      <c r="S23" s="805">
        <f>R23+R24</f>
        <v>0.74797076400000007</v>
      </c>
      <c r="T23" s="805">
        <f>E23*S23</f>
        <v>366.76746412740005</v>
      </c>
      <c r="U23" s="850"/>
      <c r="V23" s="891" t="s">
        <v>285</v>
      </c>
      <c r="W23" s="881" t="s">
        <v>201</v>
      </c>
    </row>
    <row r="24" spans="1:256" s="245" customFormat="1" ht="12.75" customHeight="1">
      <c r="A24" s="898"/>
      <c r="B24" s="831"/>
      <c r="C24" s="880"/>
      <c r="D24" s="812"/>
      <c r="E24" s="886"/>
      <c r="F24" s="816">
        <f>F23*$J$13/1000</f>
        <v>2.4772200000000001E-2</v>
      </c>
      <c r="G24" s="816"/>
      <c r="H24" s="816"/>
      <c r="I24" s="816">
        <f>I23*$Q$13/1000</f>
        <v>0.72319856400000004</v>
      </c>
      <c r="J24" s="816"/>
      <c r="K24" s="816"/>
      <c r="L24" s="617"/>
      <c r="M24" s="512"/>
      <c r="N24" s="512"/>
      <c r="O24" s="512"/>
      <c r="P24" s="394"/>
      <c r="Q24" s="395"/>
      <c r="R24" s="887"/>
      <c r="S24" s="806"/>
      <c r="T24" s="806"/>
      <c r="U24" s="888"/>
      <c r="V24" s="892"/>
      <c r="W24" s="882"/>
    </row>
    <row r="25" spans="1:256" s="245" customFormat="1" ht="12.75" customHeight="1">
      <c r="A25" s="899">
        <f>+A23+1</f>
        <v>2</v>
      </c>
      <c r="B25" s="830" t="s">
        <v>241</v>
      </c>
      <c r="C25" s="879" t="s">
        <v>461</v>
      </c>
      <c r="D25" s="811" t="s">
        <v>180</v>
      </c>
      <c r="E25" s="811">
        <v>462.33</v>
      </c>
      <c r="F25" s="816">
        <f>0.001*14.3</f>
        <v>1.43E-2</v>
      </c>
      <c r="G25" s="816"/>
      <c r="H25" s="816"/>
      <c r="I25" s="816">
        <f>0.001*302.7</f>
        <v>0.30269999999999997</v>
      </c>
      <c r="J25" s="816"/>
      <c r="K25" s="816"/>
      <c r="L25" s="390"/>
      <c r="M25" s="778"/>
      <c r="N25" s="778"/>
      <c r="O25" s="778"/>
      <c r="P25" s="779"/>
      <c r="Q25" s="392"/>
      <c r="R25" s="805">
        <f>F26+I26</f>
        <v>1.0089636869999998</v>
      </c>
      <c r="S25" s="805">
        <f>R25+R26</f>
        <v>1.0089636869999998</v>
      </c>
      <c r="T25" s="805">
        <f>E25*S25</f>
        <v>466.47418141070989</v>
      </c>
      <c r="U25" s="850"/>
      <c r="V25" s="891" t="s">
        <v>462</v>
      </c>
      <c r="W25" s="881" t="s">
        <v>201</v>
      </c>
    </row>
    <row r="26" spans="1:256" s="245" customFormat="1" ht="12.75" customHeight="1">
      <c r="A26" s="900"/>
      <c r="B26" s="831"/>
      <c r="C26" s="880"/>
      <c r="D26" s="812"/>
      <c r="E26" s="886"/>
      <c r="F26" s="816">
        <f>F25*$J$13/1000</f>
        <v>3.34191E-2</v>
      </c>
      <c r="G26" s="816"/>
      <c r="H26" s="816"/>
      <c r="I26" s="816">
        <f>I25*$Q$13/1000</f>
        <v>0.97554458699999991</v>
      </c>
      <c r="J26" s="816"/>
      <c r="K26" s="816"/>
      <c r="L26" s="393"/>
      <c r="M26" s="512"/>
      <c r="N26" s="512"/>
      <c r="O26" s="512"/>
      <c r="P26" s="394"/>
      <c r="Q26" s="395"/>
      <c r="R26" s="887"/>
      <c r="S26" s="806"/>
      <c r="T26" s="806"/>
      <c r="U26" s="888"/>
      <c r="V26" s="892"/>
      <c r="W26" s="882"/>
    </row>
    <row r="27" spans="1:256" s="245" customFormat="1" ht="15" customHeight="1">
      <c r="A27" s="817">
        <f t="shared" ref="A27" si="2">+A25+1</f>
        <v>3</v>
      </c>
      <c r="B27" s="830" t="s">
        <v>355</v>
      </c>
      <c r="C27" s="832" t="s">
        <v>356</v>
      </c>
      <c r="D27" s="811" t="s">
        <v>180</v>
      </c>
      <c r="E27" s="811">
        <v>325.73</v>
      </c>
      <c r="F27" s="816"/>
      <c r="G27" s="816"/>
      <c r="H27" s="816"/>
      <c r="I27" s="816"/>
      <c r="J27" s="816"/>
      <c r="K27" s="816"/>
      <c r="L27" s="616"/>
      <c r="M27" s="511"/>
      <c r="N27" s="511"/>
      <c r="O27" s="511"/>
      <c r="P27" s="391"/>
      <c r="Q27" s="392"/>
      <c r="R27" s="805">
        <f>F28+I28</f>
        <v>5.96</v>
      </c>
      <c r="S27" s="805">
        <f>R27+R28</f>
        <v>5.96</v>
      </c>
      <c r="T27" s="805">
        <f>E27*S27</f>
        <v>1941.3508000000002</v>
      </c>
      <c r="U27" s="850"/>
      <c r="V27" s="889" t="s">
        <v>357</v>
      </c>
      <c r="W27" s="881" t="s">
        <v>201</v>
      </c>
      <c r="Y27" s="594"/>
      <c r="Z27" s="595"/>
    </row>
    <row r="28" spans="1:256" s="245" customFormat="1" ht="24.75" customHeight="1">
      <c r="A28" s="898"/>
      <c r="B28" s="831"/>
      <c r="C28" s="833"/>
      <c r="D28" s="812"/>
      <c r="E28" s="886"/>
      <c r="F28" s="816">
        <f>F27*$J$13/1000</f>
        <v>0</v>
      </c>
      <c r="G28" s="816"/>
      <c r="H28" s="816"/>
      <c r="I28" s="816">
        <v>5.96</v>
      </c>
      <c r="J28" s="816"/>
      <c r="K28" s="816"/>
      <c r="L28" s="617"/>
      <c r="M28" s="512"/>
      <c r="N28" s="512"/>
      <c r="O28" s="512"/>
      <c r="P28" s="394"/>
      <c r="Q28" s="395"/>
      <c r="R28" s="887"/>
      <c r="S28" s="806"/>
      <c r="T28" s="806"/>
      <c r="U28" s="888"/>
      <c r="V28" s="890"/>
      <c r="W28" s="882"/>
      <c r="Y28" s="594"/>
      <c r="Z28" s="595"/>
    </row>
    <row r="29" spans="1:256" s="245" customFormat="1" ht="15" customHeight="1">
      <c r="A29" s="817">
        <f>+A27+1</f>
        <v>4</v>
      </c>
      <c r="B29" s="830" t="s">
        <v>355</v>
      </c>
      <c r="C29" s="832" t="s">
        <v>361</v>
      </c>
      <c r="D29" s="811" t="s">
        <v>180</v>
      </c>
      <c r="E29" s="811">
        <v>203.14</v>
      </c>
      <c r="F29" s="816"/>
      <c r="G29" s="816"/>
      <c r="H29" s="816"/>
      <c r="I29" s="816"/>
      <c r="J29" s="816"/>
      <c r="K29" s="816"/>
      <c r="L29" s="616"/>
      <c r="M29" s="511"/>
      <c r="N29" s="511"/>
      <c r="O29" s="511"/>
      <c r="P29" s="391"/>
      <c r="Q29" s="392"/>
      <c r="R29" s="805">
        <f>F30+I30</f>
        <v>7.15</v>
      </c>
      <c r="S29" s="805">
        <f>R29+R30</f>
        <v>7.15</v>
      </c>
      <c r="T29" s="805">
        <f>E29*S29</f>
        <v>1452.451</v>
      </c>
      <c r="U29" s="850"/>
      <c r="V29" s="889" t="s">
        <v>362</v>
      </c>
      <c r="W29" s="881" t="s">
        <v>201</v>
      </c>
    </row>
    <row r="30" spans="1:256" s="245" customFormat="1" ht="25.5" customHeight="1">
      <c r="A30" s="898"/>
      <c r="B30" s="831"/>
      <c r="C30" s="833"/>
      <c r="D30" s="812"/>
      <c r="E30" s="812"/>
      <c r="F30" s="816">
        <f>F29*$J$13/1000</f>
        <v>0</v>
      </c>
      <c r="G30" s="816"/>
      <c r="H30" s="816"/>
      <c r="I30" s="816">
        <v>7.15</v>
      </c>
      <c r="J30" s="816"/>
      <c r="K30" s="816"/>
      <c r="L30" s="617"/>
      <c r="M30" s="512"/>
      <c r="N30" s="512"/>
      <c r="O30" s="512"/>
      <c r="P30" s="394"/>
      <c r="Q30" s="395"/>
      <c r="R30" s="806"/>
      <c r="S30" s="806"/>
      <c r="T30" s="806"/>
      <c r="U30" s="888"/>
      <c r="V30" s="890"/>
      <c r="W30" s="882"/>
    </row>
    <row r="31" spans="1:256" s="245" customFormat="1" ht="12.75" customHeight="1">
      <c r="A31" s="817">
        <f>+A29+1</f>
        <v>5</v>
      </c>
      <c r="B31" s="830" t="s">
        <v>370</v>
      </c>
      <c r="C31" s="832" t="s">
        <v>371</v>
      </c>
      <c r="D31" s="811" t="s">
        <v>180</v>
      </c>
      <c r="E31" s="811">
        <f>+E29+E27</f>
        <v>528.87</v>
      </c>
      <c r="F31" s="816">
        <f>0.001*16.8</f>
        <v>1.6800000000000002E-2</v>
      </c>
      <c r="G31" s="816"/>
      <c r="H31" s="816"/>
      <c r="I31" s="816">
        <f>0.001*355.2</f>
        <v>0.35520000000000002</v>
      </c>
      <c r="J31" s="816"/>
      <c r="K31" s="816"/>
      <c r="L31" s="616"/>
      <c r="M31" s="511"/>
      <c r="N31" s="511"/>
      <c r="O31" s="511"/>
      <c r="P31" s="391"/>
      <c r="Q31" s="392"/>
      <c r="R31" s="805">
        <f>F32+I32</f>
        <v>1.184003712</v>
      </c>
      <c r="S31" s="805">
        <f>R31+R32</f>
        <v>1.184003712</v>
      </c>
      <c r="T31" s="805">
        <f>E31*S31</f>
        <v>626.18404316544002</v>
      </c>
      <c r="U31" s="850"/>
      <c r="V31" s="891" t="s">
        <v>372</v>
      </c>
      <c r="W31" s="881" t="s">
        <v>201</v>
      </c>
    </row>
    <row r="32" spans="1:256" s="245" customFormat="1" ht="12.75" customHeight="1">
      <c r="A32" s="898"/>
      <c r="B32" s="831"/>
      <c r="C32" s="833"/>
      <c r="D32" s="812"/>
      <c r="E32" s="886"/>
      <c r="F32" s="816">
        <f>F31*$J$13/1000</f>
        <v>3.9261600000000008E-2</v>
      </c>
      <c r="G32" s="816"/>
      <c r="H32" s="816"/>
      <c r="I32" s="816">
        <f>I31*$Q$13/1000</f>
        <v>1.1447421120000001</v>
      </c>
      <c r="J32" s="816"/>
      <c r="K32" s="816"/>
      <c r="L32" s="617"/>
      <c r="M32" s="512"/>
      <c r="N32" s="512"/>
      <c r="O32" s="512"/>
      <c r="P32" s="394"/>
      <c r="Q32" s="395"/>
      <c r="R32" s="887"/>
      <c r="S32" s="806"/>
      <c r="T32" s="806"/>
      <c r="U32" s="888"/>
      <c r="V32" s="892"/>
      <c r="W32" s="882"/>
    </row>
    <row r="33" spans="1:49" s="245" customFormat="1" ht="12.75" customHeight="1">
      <c r="A33" s="817">
        <f t="shared" ref="A33" si="3">+A31+1</f>
        <v>6</v>
      </c>
      <c r="B33" s="830" t="s">
        <v>211</v>
      </c>
      <c r="C33" s="879" t="s">
        <v>363</v>
      </c>
      <c r="D33" s="811" t="s">
        <v>180</v>
      </c>
      <c r="E33" s="811">
        <v>45.5</v>
      </c>
      <c r="F33" s="816">
        <f>0.01*194</f>
        <v>1.94</v>
      </c>
      <c r="G33" s="816"/>
      <c r="H33" s="816"/>
      <c r="I33" s="885">
        <v>0</v>
      </c>
      <c r="J33" s="885"/>
      <c r="K33" s="885"/>
      <c r="L33" s="616"/>
      <c r="M33" s="511"/>
      <c r="N33" s="511"/>
      <c r="O33" s="511"/>
      <c r="P33" s="391"/>
      <c r="Q33" s="392"/>
      <c r="R33" s="805">
        <f>F34+I34</f>
        <v>4.5337800000000001</v>
      </c>
      <c r="S33" s="805">
        <f>R33+R34</f>
        <v>4.5337800000000001</v>
      </c>
      <c r="T33" s="805">
        <f>E33*S33</f>
        <v>206.28699</v>
      </c>
      <c r="U33" s="850"/>
      <c r="V33" s="891" t="s">
        <v>364</v>
      </c>
      <c r="W33" s="893" t="s">
        <v>201</v>
      </c>
    </row>
    <row r="34" spans="1:49" s="245" customFormat="1" ht="17.25" customHeight="1">
      <c r="A34" s="898"/>
      <c r="B34" s="831"/>
      <c r="C34" s="880"/>
      <c r="D34" s="812"/>
      <c r="E34" s="812"/>
      <c r="F34" s="816">
        <f>F33*$J$13/1000</f>
        <v>4.5337800000000001</v>
      </c>
      <c r="G34" s="816"/>
      <c r="H34" s="816"/>
      <c r="I34" s="885">
        <f>I33*$Q$13/1000</f>
        <v>0</v>
      </c>
      <c r="J34" s="885"/>
      <c r="K34" s="885"/>
      <c r="L34" s="617"/>
      <c r="M34" s="512"/>
      <c r="N34" s="512"/>
      <c r="O34" s="512"/>
      <c r="P34" s="394"/>
      <c r="Q34" s="395"/>
      <c r="R34" s="806"/>
      <c r="S34" s="806"/>
      <c r="T34" s="806"/>
      <c r="U34" s="888"/>
      <c r="V34" s="892"/>
      <c r="W34" s="894"/>
    </row>
    <row r="35" spans="1:49" s="245" customFormat="1" ht="12.75" customHeight="1">
      <c r="A35" s="817">
        <f t="shared" ref="A35" si="4">+A33+1</f>
        <v>7</v>
      </c>
      <c r="B35" s="830" t="s">
        <v>243</v>
      </c>
      <c r="C35" s="879" t="s">
        <v>345</v>
      </c>
      <c r="D35" s="811" t="s">
        <v>180</v>
      </c>
      <c r="E35" s="811">
        <v>42.9</v>
      </c>
      <c r="F35" s="816">
        <f>0.01*474</f>
        <v>4.74</v>
      </c>
      <c r="G35" s="816"/>
      <c r="H35" s="816"/>
      <c r="I35" s="885">
        <v>0</v>
      </c>
      <c r="J35" s="885"/>
      <c r="K35" s="885"/>
      <c r="L35" s="616"/>
      <c r="M35" s="511"/>
      <c r="N35" s="511"/>
      <c r="O35" s="511"/>
      <c r="P35" s="391"/>
      <c r="Q35" s="392"/>
      <c r="R35" s="805">
        <f>F36+I36</f>
        <v>11.077380000000002</v>
      </c>
      <c r="S35" s="805">
        <f>R35+R36</f>
        <v>11.077380000000002</v>
      </c>
      <c r="T35" s="805">
        <f>E35*S35</f>
        <v>475.21960200000007</v>
      </c>
      <c r="U35" s="850"/>
      <c r="V35" s="883" t="s">
        <v>346</v>
      </c>
      <c r="W35" s="811" t="s">
        <v>180</v>
      </c>
    </row>
    <row r="36" spans="1:49" s="245" customFormat="1" ht="12.75" customHeight="1">
      <c r="A36" s="898"/>
      <c r="B36" s="831"/>
      <c r="C36" s="880"/>
      <c r="D36" s="812"/>
      <c r="E36" s="886"/>
      <c r="F36" s="816">
        <f>F35*$J$13/1000</f>
        <v>11.077380000000002</v>
      </c>
      <c r="G36" s="816"/>
      <c r="H36" s="816"/>
      <c r="I36" s="885">
        <f>I35*$Q$13/1000</f>
        <v>0</v>
      </c>
      <c r="J36" s="885"/>
      <c r="K36" s="885"/>
      <c r="L36" s="617"/>
      <c r="M36" s="512"/>
      <c r="N36" s="512"/>
      <c r="O36" s="512"/>
      <c r="P36" s="394"/>
      <c r="Q36" s="395"/>
      <c r="R36" s="806"/>
      <c r="S36" s="806"/>
      <c r="T36" s="806"/>
      <c r="U36" s="888"/>
      <c r="V36" s="884"/>
      <c r="W36" s="812"/>
    </row>
    <row r="37" spans="1:49" s="245" customFormat="1" ht="15" customHeight="1">
      <c r="A37" s="817">
        <f t="shared" ref="A37" si="5">+A35+1</f>
        <v>8</v>
      </c>
      <c r="B37" s="830" t="s">
        <v>347</v>
      </c>
      <c r="C37" s="832" t="s">
        <v>348</v>
      </c>
      <c r="D37" s="811" t="s">
        <v>180</v>
      </c>
      <c r="E37" s="811">
        <v>30.22</v>
      </c>
      <c r="F37" s="816">
        <f>0.01*395</f>
        <v>3.95</v>
      </c>
      <c r="G37" s="816"/>
      <c r="H37" s="816"/>
      <c r="I37" s="816">
        <f>0.01*484</f>
        <v>4.84</v>
      </c>
      <c r="J37" s="816"/>
      <c r="K37" s="816"/>
      <c r="L37" s="616"/>
      <c r="M37" s="511"/>
      <c r="N37" s="511"/>
      <c r="O37" s="511"/>
      <c r="P37" s="391"/>
      <c r="Q37" s="392"/>
      <c r="R37" s="805">
        <f>F38+I38</f>
        <v>24.829550399999999</v>
      </c>
      <c r="S37" s="805">
        <f>R37+R38</f>
        <v>24.829550399999999</v>
      </c>
      <c r="T37" s="805">
        <f>E37*S37</f>
        <v>750.34901308799988</v>
      </c>
      <c r="U37" s="850"/>
      <c r="V37" s="889" t="s">
        <v>349</v>
      </c>
      <c r="W37" s="881" t="s">
        <v>201</v>
      </c>
    </row>
    <row r="38" spans="1:49" s="245" customFormat="1" ht="24.75" customHeight="1">
      <c r="A38" s="898"/>
      <c r="B38" s="831"/>
      <c r="C38" s="833"/>
      <c r="D38" s="812"/>
      <c r="E38" s="886"/>
      <c r="F38" s="816">
        <f>F37*$J$13/1000</f>
        <v>9.2311499999999995</v>
      </c>
      <c r="G38" s="816"/>
      <c r="H38" s="816"/>
      <c r="I38" s="816">
        <f>I37*$Q$13/1000</f>
        <v>15.598400399999999</v>
      </c>
      <c r="J38" s="816"/>
      <c r="K38" s="816"/>
      <c r="L38" s="617"/>
      <c r="M38" s="512"/>
      <c r="N38" s="512"/>
      <c r="O38" s="512"/>
      <c r="P38" s="394"/>
      <c r="Q38" s="395"/>
      <c r="R38" s="887"/>
      <c r="S38" s="806"/>
      <c r="T38" s="806"/>
      <c r="U38" s="888"/>
      <c r="V38" s="890"/>
      <c r="W38" s="882"/>
    </row>
    <row r="39" spans="1:49" s="245" customFormat="1" ht="15" customHeight="1">
      <c r="A39" s="817">
        <f t="shared" ref="A39" si="6">+A37+1</f>
        <v>9</v>
      </c>
      <c r="B39" s="830" t="s">
        <v>350</v>
      </c>
      <c r="C39" s="832" t="s">
        <v>351</v>
      </c>
      <c r="D39" s="811" t="s">
        <v>180</v>
      </c>
      <c r="E39" s="811">
        <v>18.850000000000001</v>
      </c>
      <c r="F39" s="816">
        <f>0.01*488</f>
        <v>4.88</v>
      </c>
      <c r="G39" s="816"/>
      <c r="H39" s="816"/>
      <c r="I39" s="816">
        <f>0.01*622</f>
        <v>6.22</v>
      </c>
      <c r="J39" s="816"/>
      <c r="K39" s="816"/>
      <c r="L39" s="616"/>
      <c r="M39" s="511"/>
      <c r="N39" s="511"/>
      <c r="O39" s="511"/>
      <c r="P39" s="391"/>
      <c r="Q39" s="392"/>
      <c r="R39" s="805">
        <f>F40+I40</f>
        <v>31.450438200000001</v>
      </c>
      <c r="S39" s="805">
        <f>R39+R40</f>
        <v>31.450438200000001</v>
      </c>
      <c r="T39" s="805">
        <f>E39*S39</f>
        <v>592.8407600700001</v>
      </c>
      <c r="U39" s="850"/>
      <c r="V39" s="889" t="s">
        <v>352</v>
      </c>
      <c r="W39" s="881" t="s">
        <v>201</v>
      </c>
    </row>
    <row r="40" spans="1:49" s="245" customFormat="1" ht="25.5" customHeight="1">
      <c r="A40" s="898"/>
      <c r="B40" s="831"/>
      <c r="C40" s="833"/>
      <c r="D40" s="812"/>
      <c r="E40" s="812"/>
      <c r="F40" s="816">
        <f>F39*$J$13/1000</f>
        <v>11.40456</v>
      </c>
      <c r="G40" s="816"/>
      <c r="H40" s="816"/>
      <c r="I40" s="816">
        <f>I39*$Q$13/1000</f>
        <v>20.045878200000001</v>
      </c>
      <c r="J40" s="816"/>
      <c r="K40" s="816"/>
      <c r="L40" s="617"/>
      <c r="M40" s="512"/>
      <c r="N40" s="512"/>
      <c r="O40" s="512"/>
      <c r="P40" s="394"/>
      <c r="Q40" s="395"/>
      <c r="R40" s="806"/>
      <c r="S40" s="806"/>
      <c r="T40" s="806"/>
      <c r="U40" s="888"/>
      <c r="V40" s="890"/>
      <c r="W40" s="882"/>
    </row>
    <row r="41" spans="1:49" s="466" customFormat="1" ht="21.75" customHeight="1">
      <c r="A41" s="817">
        <f t="shared" ref="A41" si="7">+A39+1</f>
        <v>10</v>
      </c>
      <c r="B41" s="830" t="s">
        <v>230</v>
      </c>
      <c r="C41" s="879" t="s">
        <v>354</v>
      </c>
      <c r="D41" s="811" t="s">
        <v>180</v>
      </c>
      <c r="E41" s="964">
        <v>277.49</v>
      </c>
      <c r="F41" s="839">
        <v>0.89</v>
      </c>
      <c r="G41" s="840"/>
      <c r="H41" s="841"/>
      <c r="I41" s="839"/>
      <c r="J41" s="840"/>
      <c r="K41" s="841"/>
      <c r="L41" s="717"/>
      <c r="M41" s="687"/>
      <c r="N41" s="478"/>
      <c r="O41" s="478"/>
      <c r="P41" s="514"/>
      <c r="Q41" s="515"/>
      <c r="R41" s="479">
        <f>F42+I42</f>
        <v>2.0799300000000001</v>
      </c>
      <c r="S41" s="805">
        <f>R41+R42</f>
        <v>4.6154368200000011</v>
      </c>
      <c r="T41" s="805">
        <f>E41*S41</f>
        <v>1280.7375631818004</v>
      </c>
      <c r="U41" s="870">
        <f>E41*Q42</f>
        <v>703.57778748180033</v>
      </c>
      <c r="V41" s="879" t="s">
        <v>353</v>
      </c>
      <c r="W41" s="811" t="s">
        <v>201</v>
      </c>
      <c r="AA41" s="596"/>
      <c r="AB41" s="159"/>
      <c r="AC41" s="209"/>
      <c r="AD41" s="209"/>
      <c r="AE41" s="209"/>
      <c r="AF41" s="209"/>
      <c r="AG41" s="209"/>
      <c r="AH41" s="209"/>
      <c r="AI41" s="209"/>
      <c r="AJ41" s="209"/>
      <c r="AK41" s="244"/>
      <c r="AL41" s="244"/>
      <c r="AM41" s="244"/>
      <c r="AN41" s="244"/>
    </row>
    <row r="42" spans="1:49" s="466" customFormat="1" ht="21.75" customHeight="1">
      <c r="A42" s="898"/>
      <c r="B42" s="831"/>
      <c r="C42" s="880"/>
      <c r="D42" s="812"/>
      <c r="E42" s="965"/>
      <c r="F42" s="839">
        <f>F41*$J$13/1000</f>
        <v>2.0799300000000001</v>
      </c>
      <c r="G42" s="840"/>
      <c r="H42" s="841"/>
      <c r="I42" s="895">
        <f>I41*$Q$13/1000</f>
        <v>0</v>
      </c>
      <c r="J42" s="896"/>
      <c r="K42" s="897"/>
      <c r="L42" s="516" t="s">
        <v>231</v>
      </c>
      <c r="M42" s="474" t="s">
        <v>180</v>
      </c>
      <c r="N42" s="475">
        <v>1.1000000000000001</v>
      </c>
      <c r="O42" s="517">
        <f>E41*N42</f>
        <v>305.23900000000003</v>
      </c>
      <c r="P42" s="467">
        <v>2</v>
      </c>
      <c r="Q42" s="248">
        <f>N42*P42*$N$11</f>
        <v>2.535506820000001</v>
      </c>
      <c r="R42" s="479">
        <f>SUM(Q42:Q42)</f>
        <v>2.535506820000001</v>
      </c>
      <c r="S42" s="806"/>
      <c r="T42" s="806"/>
      <c r="U42" s="871"/>
      <c r="V42" s="880"/>
      <c r="W42" s="812"/>
      <c r="AA42" s="596"/>
      <c r="AB42" s="159"/>
      <c r="AC42" s="209"/>
      <c r="AD42" s="209"/>
      <c r="AE42" s="209"/>
      <c r="AF42" s="209"/>
      <c r="AG42" s="209"/>
      <c r="AH42" s="209"/>
      <c r="AI42" s="209"/>
      <c r="AJ42" s="209"/>
      <c r="AK42" s="244"/>
      <c r="AL42" s="244"/>
      <c r="AM42" s="244"/>
      <c r="AN42" s="244"/>
    </row>
    <row r="43" spans="1:49" s="245" customFormat="1" ht="12.75" customHeight="1">
      <c r="A43" s="817">
        <f>+A41+1</f>
        <v>11</v>
      </c>
      <c r="B43" s="830" t="s">
        <v>336</v>
      </c>
      <c r="C43" s="879" t="s">
        <v>366</v>
      </c>
      <c r="D43" s="811" t="s">
        <v>180</v>
      </c>
      <c r="E43" s="811">
        <v>1341.53</v>
      </c>
      <c r="F43" s="816"/>
      <c r="G43" s="816"/>
      <c r="H43" s="816"/>
      <c r="I43" s="816">
        <f>0.001*25</f>
        <v>2.5000000000000001E-2</v>
      </c>
      <c r="J43" s="816"/>
      <c r="K43" s="816"/>
      <c r="L43" s="619"/>
      <c r="M43" s="397"/>
      <c r="N43" s="398"/>
      <c r="O43" s="398"/>
      <c r="P43" s="399"/>
      <c r="Q43" s="400"/>
      <c r="R43" s="805">
        <f>F44+I44</f>
        <v>8.0570249999999996E-2</v>
      </c>
      <c r="S43" s="805">
        <f>R43+R44</f>
        <v>8.0570249999999996E-2</v>
      </c>
      <c r="T43" s="805">
        <f>E43*S43</f>
        <v>108.0874074825</v>
      </c>
      <c r="U43" s="807"/>
      <c r="V43" s="883" t="s">
        <v>365</v>
      </c>
      <c r="W43" s="881" t="s">
        <v>201</v>
      </c>
    </row>
    <row r="44" spans="1:49" s="245" customFormat="1" ht="12.75" customHeight="1">
      <c r="A44" s="818"/>
      <c r="B44" s="831"/>
      <c r="C44" s="880"/>
      <c r="D44" s="812"/>
      <c r="E44" s="812"/>
      <c r="F44" s="816"/>
      <c r="G44" s="816"/>
      <c r="H44" s="816"/>
      <c r="I44" s="816">
        <f>I43*$Q$13/1000</f>
        <v>8.0570249999999996E-2</v>
      </c>
      <c r="J44" s="816"/>
      <c r="K44" s="816"/>
      <c r="L44" s="617"/>
      <c r="M44" s="404"/>
      <c r="N44" s="405"/>
      <c r="O44" s="405"/>
      <c r="P44" s="394"/>
      <c r="Q44" s="406"/>
      <c r="R44" s="806"/>
      <c r="S44" s="806"/>
      <c r="T44" s="806"/>
      <c r="U44" s="808"/>
      <c r="V44" s="884"/>
      <c r="W44" s="882"/>
    </row>
    <row r="45" spans="1:49" s="466" customFormat="1" ht="14.25" customHeight="1">
      <c r="A45" s="817">
        <f>+A43+1</f>
        <v>12</v>
      </c>
      <c r="B45" s="830" t="s">
        <v>367</v>
      </c>
      <c r="C45" s="866" t="s">
        <v>368</v>
      </c>
      <c r="D45" s="811" t="s">
        <v>180</v>
      </c>
      <c r="E45" s="868">
        <f>+E43*0.3</f>
        <v>402.459</v>
      </c>
      <c r="F45" s="839"/>
      <c r="G45" s="840"/>
      <c r="H45" s="841"/>
      <c r="I45" s="816">
        <f>4.76/100</f>
        <v>4.7599999999999996E-2</v>
      </c>
      <c r="J45" s="816"/>
      <c r="K45" s="816"/>
      <c r="L45" s="616"/>
      <c r="M45" s="397"/>
      <c r="N45" s="398"/>
      <c r="O45" s="398"/>
      <c r="P45" s="399"/>
      <c r="Q45" s="669"/>
      <c r="R45" s="805">
        <f>F46+I46</f>
        <v>0.153405756</v>
      </c>
      <c r="S45" s="805">
        <f>R45+R46</f>
        <v>0.153405756</v>
      </c>
      <c r="T45" s="805">
        <f>E45*S45</f>
        <v>61.739527154004001</v>
      </c>
      <c r="U45" s="870"/>
      <c r="V45" s="872" t="s">
        <v>369</v>
      </c>
      <c r="W45" s="874" t="s">
        <v>201</v>
      </c>
      <c r="Y45" s="597"/>
      <c r="Z45" s="598"/>
      <c r="AA45" s="599"/>
      <c r="AB45" s="566"/>
      <c r="AC45" s="566"/>
      <c r="AD45" s="566"/>
      <c r="AE45" s="566"/>
    </row>
    <row r="46" spans="1:49" s="466" customFormat="1" ht="12">
      <c r="A46" s="818"/>
      <c r="B46" s="831"/>
      <c r="C46" s="867"/>
      <c r="D46" s="812"/>
      <c r="E46" s="869"/>
      <c r="F46" s="876"/>
      <c r="G46" s="877"/>
      <c r="H46" s="878"/>
      <c r="I46" s="839">
        <f>I45*$Q$13/1000</f>
        <v>0.153405756</v>
      </c>
      <c r="J46" s="840"/>
      <c r="K46" s="841"/>
      <c r="L46" s="617"/>
      <c r="M46" s="404"/>
      <c r="N46" s="405"/>
      <c r="O46" s="405"/>
      <c r="P46" s="394"/>
      <c r="Q46" s="670"/>
      <c r="R46" s="806"/>
      <c r="S46" s="806"/>
      <c r="T46" s="806"/>
      <c r="U46" s="871"/>
      <c r="V46" s="873"/>
      <c r="W46" s="875"/>
      <c r="Y46" s="597"/>
      <c r="Z46" s="598"/>
    </row>
    <row r="47" spans="1:49" s="245" customFormat="1" ht="21.75" customHeight="1">
      <c r="A47" s="854">
        <f t="shared" ref="A47" si="8">+A45+1</f>
        <v>13</v>
      </c>
      <c r="B47" s="830" t="s">
        <v>373</v>
      </c>
      <c r="C47" s="832" t="s">
        <v>374</v>
      </c>
      <c r="D47" s="811" t="s">
        <v>180</v>
      </c>
      <c r="E47" s="811">
        <v>138.74</v>
      </c>
      <c r="F47" s="858"/>
      <c r="G47" s="858"/>
      <c r="H47" s="858"/>
      <c r="I47" s="859">
        <f>140/1000</f>
        <v>0.14000000000000001</v>
      </c>
      <c r="J47" s="860"/>
      <c r="K47" s="861"/>
      <c r="L47" s="616"/>
      <c r="M47" s="511"/>
      <c r="N47" s="511"/>
      <c r="O47" s="511"/>
      <c r="P47" s="391"/>
      <c r="Q47" s="392"/>
      <c r="R47" s="805">
        <f>F48+I48</f>
        <v>0.45119340000000008</v>
      </c>
      <c r="S47" s="805">
        <f>R47+R48</f>
        <v>0.45119340000000008</v>
      </c>
      <c r="T47" s="805">
        <f>E47*S47</f>
        <v>62.598572316000016</v>
      </c>
      <c r="U47" s="850"/>
      <c r="V47" s="852" t="s">
        <v>375</v>
      </c>
      <c r="W47" s="844" t="s">
        <v>359</v>
      </c>
      <c r="Y47" s="671"/>
      <c r="Z47" s="671"/>
      <c r="AA47" s="175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672"/>
      <c r="AP47" s="672"/>
      <c r="AQ47" s="672"/>
      <c r="AR47" s="672"/>
      <c r="AS47" s="672"/>
      <c r="AT47" s="672"/>
      <c r="AU47" s="672"/>
      <c r="AV47" s="672"/>
      <c r="AW47" s="672"/>
    </row>
    <row r="48" spans="1:49" s="245" customFormat="1" ht="21.75" customHeight="1">
      <c r="A48" s="855"/>
      <c r="B48" s="856"/>
      <c r="C48" s="857"/>
      <c r="D48" s="812"/>
      <c r="E48" s="812"/>
      <c r="F48" s="862">
        <f>F47*$J$13/1000</f>
        <v>0</v>
      </c>
      <c r="G48" s="862"/>
      <c r="H48" s="862"/>
      <c r="I48" s="863">
        <f>I47*$Q$13/1000</f>
        <v>0.45119340000000008</v>
      </c>
      <c r="J48" s="864"/>
      <c r="K48" s="865"/>
      <c r="L48" s="617"/>
      <c r="M48" s="512"/>
      <c r="N48" s="512"/>
      <c r="O48" s="512"/>
      <c r="P48" s="394"/>
      <c r="Q48" s="395"/>
      <c r="R48" s="806"/>
      <c r="S48" s="806"/>
      <c r="T48" s="806"/>
      <c r="U48" s="851"/>
      <c r="V48" s="853"/>
      <c r="W48" s="845"/>
      <c r="Y48" s="671"/>
      <c r="Z48" s="671"/>
      <c r="AA48" s="175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673"/>
      <c r="AP48" s="673"/>
      <c r="AQ48" s="673"/>
      <c r="AR48" s="673"/>
      <c r="AS48" s="673"/>
      <c r="AT48" s="673"/>
      <c r="AU48" s="673"/>
      <c r="AV48" s="673"/>
      <c r="AW48" s="673"/>
    </row>
    <row r="49" spans="1:228" s="678" customFormat="1">
      <c r="A49" s="817">
        <f>+A47+1</f>
        <v>14</v>
      </c>
      <c r="B49" s="819" t="s">
        <v>358</v>
      </c>
      <c r="C49" s="821" t="s">
        <v>376</v>
      </c>
      <c r="D49" s="823" t="s">
        <v>180</v>
      </c>
      <c r="E49" s="825">
        <v>138.75</v>
      </c>
      <c r="F49" s="827">
        <f>0.001*21.2</f>
        <v>2.12E-2</v>
      </c>
      <c r="G49" s="828"/>
      <c r="H49" s="829"/>
      <c r="I49" s="827">
        <f>0.001*453.19</f>
        <v>0.45318999999999998</v>
      </c>
      <c r="J49" s="828"/>
      <c r="K49" s="829"/>
      <c r="L49" s="718"/>
      <c r="M49" s="674"/>
      <c r="N49" s="675"/>
      <c r="O49" s="675"/>
      <c r="P49" s="676"/>
      <c r="Q49" s="677"/>
      <c r="R49" s="825">
        <f>F50+I50</f>
        <v>1.5100896639000001</v>
      </c>
      <c r="S49" s="825">
        <f>R49+R50</f>
        <v>1.5100896639000001</v>
      </c>
      <c r="T49" s="825">
        <f>E49*S49</f>
        <v>209.52494086612501</v>
      </c>
      <c r="U49" s="842">
        <f>E49*Q50</f>
        <v>0</v>
      </c>
      <c r="V49" s="821" t="s">
        <v>377</v>
      </c>
      <c r="W49" s="844" t="s">
        <v>359</v>
      </c>
      <c r="X49" s="846" t="s">
        <v>360</v>
      </c>
      <c r="Z49" s="679"/>
      <c r="AA49" s="175"/>
      <c r="AB49" s="159"/>
      <c r="AC49" s="158"/>
      <c r="AD49" s="158"/>
      <c r="AE49" s="158"/>
      <c r="AF49" s="209"/>
      <c r="AG49" s="209"/>
      <c r="AH49" s="209"/>
      <c r="AI49" s="209"/>
      <c r="AJ49" s="209"/>
      <c r="AK49" s="158"/>
      <c r="AL49" s="158"/>
      <c r="AM49" s="158"/>
      <c r="AN49" s="158"/>
      <c r="AO49" s="466"/>
      <c r="AP49" s="466"/>
      <c r="AQ49" s="466"/>
      <c r="AR49" s="466"/>
      <c r="AS49" s="466"/>
      <c r="AT49" s="466"/>
      <c r="AU49" s="466"/>
      <c r="AV49" s="466"/>
      <c r="AW49" s="466"/>
    </row>
    <row r="50" spans="1:228" s="678" customFormat="1">
      <c r="A50" s="818"/>
      <c r="B50" s="820"/>
      <c r="C50" s="822"/>
      <c r="D50" s="824"/>
      <c r="E50" s="826"/>
      <c r="F50" s="847">
        <f>F49*$J$13/1000</f>
        <v>4.9544400000000002E-2</v>
      </c>
      <c r="G50" s="848"/>
      <c r="H50" s="849"/>
      <c r="I50" s="827">
        <f>I49*$Q$13/1000</f>
        <v>1.4605452639000001</v>
      </c>
      <c r="J50" s="828"/>
      <c r="K50" s="829"/>
      <c r="L50" s="719"/>
      <c r="M50" s="680"/>
      <c r="N50" s="681"/>
      <c r="O50" s="681"/>
      <c r="P50" s="682"/>
      <c r="Q50" s="683"/>
      <c r="R50" s="826"/>
      <c r="S50" s="826"/>
      <c r="T50" s="826"/>
      <c r="U50" s="843"/>
      <c r="V50" s="822"/>
      <c r="W50" s="845"/>
      <c r="X50" s="846"/>
      <c r="Z50" s="679"/>
      <c r="AA50" s="175"/>
      <c r="AB50" s="159"/>
      <c r="AC50" s="158"/>
      <c r="AD50" s="158"/>
      <c r="AE50" s="158"/>
      <c r="AF50" s="209"/>
      <c r="AG50" s="209"/>
      <c r="AH50" s="209"/>
      <c r="AI50" s="209"/>
      <c r="AJ50" s="209"/>
      <c r="AK50" s="158"/>
      <c r="AL50" s="158"/>
      <c r="AM50" s="158"/>
      <c r="AN50" s="158"/>
      <c r="AO50" s="466"/>
      <c r="AP50" s="466"/>
      <c r="AQ50" s="466"/>
      <c r="AR50" s="466"/>
      <c r="AS50" s="466"/>
      <c r="AT50" s="466"/>
      <c r="AU50" s="466"/>
      <c r="AV50" s="466"/>
      <c r="AW50" s="466"/>
    </row>
    <row r="51" spans="1:228" s="245" customFormat="1" ht="12.75" customHeight="1">
      <c r="A51" s="817">
        <f t="shared" ref="A51" si="9">+A49+1</f>
        <v>15</v>
      </c>
      <c r="B51" s="830" t="s">
        <v>233</v>
      </c>
      <c r="C51" s="832" t="s">
        <v>378</v>
      </c>
      <c r="D51" s="811" t="s">
        <v>326</v>
      </c>
      <c r="E51" s="834">
        <f>E49*2.2</f>
        <v>305.25</v>
      </c>
      <c r="F51" s="836"/>
      <c r="G51" s="837"/>
      <c r="H51" s="838"/>
      <c r="I51" s="839">
        <v>0.5</v>
      </c>
      <c r="J51" s="840"/>
      <c r="K51" s="841"/>
      <c r="L51" s="619"/>
      <c r="M51" s="397"/>
      <c r="N51" s="398"/>
      <c r="O51" s="398"/>
      <c r="P51" s="391"/>
      <c r="Q51" s="712"/>
      <c r="R51" s="805">
        <f>+F52+I52</f>
        <v>1.611405</v>
      </c>
      <c r="S51" s="805">
        <f>R51+R52</f>
        <v>1.611405</v>
      </c>
      <c r="T51" s="805">
        <f>E51:E52*S51</f>
        <v>491.88137625000002</v>
      </c>
      <c r="U51" s="807"/>
      <c r="V51" s="809" t="s">
        <v>379</v>
      </c>
      <c r="W51" s="811" t="s">
        <v>289</v>
      </c>
      <c r="Y51" s="684"/>
      <c r="Z51" s="685"/>
      <c r="AA51" s="158"/>
      <c r="AB51" s="158"/>
      <c r="AC51" s="209"/>
      <c r="AD51" s="209"/>
      <c r="AE51" s="209"/>
      <c r="AF51" s="209"/>
      <c r="AG51" s="209"/>
      <c r="AH51" s="209"/>
      <c r="AI51" s="209"/>
      <c r="AJ51" s="209"/>
      <c r="AK51" s="244"/>
      <c r="AL51" s="244"/>
      <c r="AM51" s="244"/>
      <c r="AN51" s="244"/>
    </row>
    <row r="52" spans="1:228" s="245" customFormat="1" ht="12.75" customHeight="1">
      <c r="A52" s="818"/>
      <c r="B52" s="831"/>
      <c r="C52" s="833"/>
      <c r="D52" s="812"/>
      <c r="E52" s="835"/>
      <c r="F52" s="813"/>
      <c r="G52" s="814"/>
      <c r="H52" s="815"/>
      <c r="I52" s="816">
        <f>I51*$Q$13/1000</f>
        <v>1.611405</v>
      </c>
      <c r="J52" s="816"/>
      <c r="K52" s="816"/>
      <c r="L52" s="617"/>
      <c r="M52" s="404"/>
      <c r="N52" s="405"/>
      <c r="O52" s="405"/>
      <c r="P52" s="394"/>
      <c r="Q52" s="567"/>
      <c r="R52" s="806"/>
      <c r="S52" s="806"/>
      <c r="T52" s="806"/>
      <c r="U52" s="808"/>
      <c r="V52" s="810"/>
      <c r="W52" s="812"/>
      <c r="Y52" s="684"/>
      <c r="Z52" s="685"/>
      <c r="AA52" s="596"/>
      <c r="AB52" s="159"/>
      <c r="AC52" s="209"/>
      <c r="AD52" s="209"/>
      <c r="AE52" s="209"/>
      <c r="AF52" s="209"/>
      <c r="AG52" s="209"/>
      <c r="AH52" s="209"/>
      <c r="AI52" s="209"/>
      <c r="AJ52" s="209"/>
      <c r="AK52" s="244"/>
      <c r="AL52" s="244"/>
      <c r="AM52" s="244"/>
      <c r="AN52" s="244"/>
    </row>
    <row r="53" spans="1:228" s="590" customFormat="1" ht="17.25" customHeight="1">
      <c r="A53" s="711"/>
      <c r="B53" s="588"/>
      <c r="C53" s="587" t="s">
        <v>334</v>
      </c>
      <c r="D53" s="623"/>
      <c r="E53" s="640"/>
      <c r="F53" s="621"/>
      <c r="G53" s="621"/>
      <c r="H53" s="621"/>
      <c r="I53" s="640"/>
      <c r="J53" s="640"/>
      <c r="K53" s="640"/>
      <c r="L53" s="621"/>
      <c r="M53" s="640"/>
      <c r="N53" s="640"/>
      <c r="O53" s="640"/>
      <c r="P53" s="639"/>
      <c r="Q53" s="640"/>
      <c r="R53" s="640"/>
      <c r="S53" s="640"/>
      <c r="T53" s="648"/>
      <c r="U53" s="648"/>
      <c r="V53" s="587" t="s">
        <v>334</v>
      </c>
      <c r="W53" s="585"/>
      <c r="X53" s="585"/>
      <c r="Y53" s="585"/>
      <c r="Z53" s="585"/>
      <c r="AA53" s="585"/>
      <c r="AB53" s="585"/>
      <c r="AC53" s="585"/>
      <c r="AD53" s="585"/>
      <c r="AE53" s="585"/>
      <c r="AF53" s="585"/>
      <c r="AG53" s="585"/>
      <c r="AH53" s="585"/>
      <c r="AI53" s="585"/>
      <c r="AJ53" s="585"/>
      <c r="AK53" s="585"/>
      <c r="AL53" s="589"/>
      <c r="AM53" s="589"/>
      <c r="AN53" s="589"/>
      <c r="AO53" s="589"/>
      <c r="AP53" s="589"/>
      <c r="AQ53" s="589"/>
      <c r="AR53" s="589"/>
      <c r="AS53" s="589"/>
      <c r="AT53" s="589"/>
      <c r="AU53" s="589"/>
      <c r="AV53" s="589"/>
      <c r="AW53" s="589"/>
      <c r="AX53" s="589"/>
      <c r="AY53" s="589"/>
      <c r="AZ53" s="589"/>
      <c r="BA53" s="589"/>
      <c r="BB53" s="589"/>
      <c r="BC53" s="589"/>
      <c r="BD53" s="589"/>
      <c r="BE53" s="589"/>
      <c r="BF53" s="589"/>
      <c r="BG53" s="589"/>
      <c r="BH53" s="589"/>
      <c r="BI53" s="589"/>
      <c r="BJ53" s="589"/>
      <c r="BK53" s="589"/>
      <c r="BL53" s="589"/>
      <c r="BM53" s="589"/>
      <c r="BN53" s="589"/>
      <c r="BO53" s="589"/>
      <c r="BP53" s="589"/>
      <c r="BQ53" s="589"/>
      <c r="BR53" s="589"/>
      <c r="BS53" s="589"/>
      <c r="BT53" s="589"/>
      <c r="BU53" s="589"/>
      <c r="BV53" s="589"/>
      <c r="BW53" s="589"/>
      <c r="BX53" s="589"/>
      <c r="BY53" s="589"/>
      <c r="BZ53" s="589"/>
      <c r="CA53" s="589"/>
      <c r="CB53" s="589"/>
      <c r="CC53" s="589"/>
      <c r="CD53" s="589"/>
      <c r="CE53" s="589"/>
      <c r="CF53" s="589"/>
      <c r="CG53" s="589"/>
      <c r="CH53" s="589"/>
      <c r="CI53" s="589"/>
      <c r="CJ53" s="589"/>
      <c r="CK53" s="589"/>
      <c r="CL53" s="589"/>
      <c r="CM53" s="589"/>
      <c r="CN53" s="589"/>
      <c r="CO53" s="589"/>
      <c r="CP53" s="589"/>
      <c r="CQ53" s="589"/>
      <c r="CR53" s="589"/>
      <c r="CS53" s="589"/>
      <c r="CT53" s="589"/>
      <c r="CU53" s="589"/>
      <c r="CV53" s="589"/>
      <c r="CW53" s="589"/>
      <c r="CX53" s="589"/>
      <c r="CY53" s="589"/>
      <c r="CZ53" s="589"/>
      <c r="DA53" s="589"/>
      <c r="DB53" s="589"/>
      <c r="DC53" s="589"/>
      <c r="DD53" s="589"/>
      <c r="DE53" s="589"/>
      <c r="DF53" s="589"/>
      <c r="DG53" s="589"/>
      <c r="DH53" s="589"/>
      <c r="DI53" s="589"/>
      <c r="DJ53" s="589"/>
      <c r="DK53" s="589"/>
      <c r="DL53" s="589"/>
      <c r="DM53" s="589"/>
      <c r="DN53" s="589"/>
      <c r="DO53" s="589"/>
      <c r="DP53" s="589"/>
      <c r="DQ53" s="589"/>
      <c r="DR53" s="589"/>
      <c r="DS53" s="589"/>
      <c r="DT53" s="589"/>
      <c r="DU53" s="589"/>
      <c r="DV53" s="589"/>
      <c r="DW53" s="589"/>
      <c r="DX53" s="589"/>
      <c r="DY53" s="589"/>
      <c r="DZ53" s="589"/>
      <c r="EA53" s="589"/>
      <c r="EB53" s="589"/>
      <c r="EC53" s="589"/>
      <c r="ED53" s="589"/>
      <c r="EE53" s="589"/>
      <c r="EF53" s="589"/>
      <c r="EG53" s="589"/>
      <c r="EH53" s="589"/>
      <c r="EI53" s="589"/>
      <c r="EJ53" s="589"/>
      <c r="EK53" s="589"/>
      <c r="EL53" s="589"/>
      <c r="EM53" s="589"/>
      <c r="EN53" s="589"/>
      <c r="EO53" s="589"/>
      <c r="EP53" s="589"/>
      <c r="EQ53" s="589"/>
      <c r="ER53" s="589"/>
      <c r="ES53" s="589"/>
      <c r="ET53" s="589"/>
      <c r="EU53" s="589"/>
      <c r="EV53" s="589"/>
      <c r="EW53" s="589"/>
      <c r="EX53" s="589"/>
      <c r="EY53" s="589"/>
      <c r="EZ53" s="589"/>
      <c r="FA53" s="589"/>
      <c r="FB53" s="589"/>
      <c r="FC53" s="589"/>
      <c r="FD53" s="589"/>
      <c r="FE53" s="589"/>
      <c r="FF53" s="589"/>
      <c r="FG53" s="589"/>
      <c r="FH53" s="589"/>
      <c r="FI53" s="589"/>
      <c r="FJ53" s="589"/>
      <c r="FK53" s="589"/>
      <c r="FL53" s="589"/>
      <c r="FM53" s="589"/>
      <c r="FN53" s="589"/>
      <c r="FO53" s="589"/>
      <c r="FP53" s="589"/>
      <c r="FQ53" s="589"/>
      <c r="FR53" s="589"/>
      <c r="FS53" s="589"/>
      <c r="FT53" s="589"/>
      <c r="FU53" s="589"/>
      <c r="FV53" s="589"/>
      <c r="FW53" s="589"/>
      <c r="FX53" s="589"/>
      <c r="FY53" s="589"/>
      <c r="FZ53" s="589"/>
      <c r="GA53" s="589"/>
      <c r="GB53" s="589"/>
      <c r="GC53" s="589"/>
      <c r="GD53" s="589"/>
      <c r="GE53" s="589"/>
      <c r="GF53" s="589"/>
      <c r="GG53" s="589"/>
      <c r="GH53" s="589"/>
      <c r="GI53" s="589"/>
      <c r="GJ53" s="589"/>
      <c r="GK53" s="589"/>
      <c r="GL53" s="589"/>
      <c r="GM53" s="589"/>
      <c r="GN53" s="589"/>
      <c r="GO53" s="589"/>
      <c r="GP53" s="589"/>
      <c r="GQ53" s="589"/>
      <c r="GR53" s="589"/>
      <c r="GS53" s="589"/>
      <c r="GT53" s="589"/>
      <c r="GU53" s="589"/>
      <c r="GV53" s="589"/>
      <c r="GW53" s="589"/>
      <c r="GX53" s="589"/>
      <c r="GY53" s="589"/>
      <c r="GZ53" s="589"/>
      <c r="HA53" s="589"/>
      <c r="HB53" s="589"/>
      <c r="HC53" s="589"/>
      <c r="HD53" s="589"/>
      <c r="HE53" s="589"/>
      <c r="HF53" s="589"/>
      <c r="HG53" s="589"/>
      <c r="HH53" s="589"/>
      <c r="HI53" s="589"/>
      <c r="HJ53" s="589"/>
      <c r="HK53" s="589"/>
      <c r="HL53" s="589"/>
      <c r="HM53" s="589"/>
      <c r="HN53" s="589"/>
      <c r="HO53" s="589"/>
      <c r="HP53" s="589"/>
      <c r="HQ53" s="589"/>
      <c r="HR53" s="589"/>
      <c r="HS53" s="589"/>
      <c r="HT53" s="589"/>
    </row>
    <row r="54" spans="1:228" s="210" customFormat="1" ht="12.75">
      <c r="A54" s="966">
        <f>+A51+1</f>
        <v>16</v>
      </c>
      <c r="B54" s="968" t="s">
        <v>380</v>
      </c>
      <c r="C54" s="970" t="s">
        <v>410</v>
      </c>
      <c r="D54" s="972" t="s">
        <v>116</v>
      </c>
      <c r="E54" s="974">
        <v>11</v>
      </c>
      <c r="F54" s="976">
        <f>0.6*0.28</f>
        <v>0.16800000000000001</v>
      </c>
      <c r="G54" s="977"/>
      <c r="H54" s="978"/>
      <c r="I54" s="976">
        <f>0.6*0.18</f>
        <v>0.108</v>
      </c>
      <c r="J54" s="977"/>
      <c r="K54" s="978"/>
      <c r="L54" s="616"/>
      <c r="M54" s="391"/>
      <c r="N54" s="391"/>
      <c r="O54" s="391"/>
      <c r="P54" s="391"/>
      <c r="Q54" s="392"/>
      <c r="R54" s="979">
        <f>F55+I55</f>
        <v>0.74067948000000006</v>
      </c>
      <c r="S54" s="979">
        <f>R54+R55</f>
        <v>0.74067948000000006</v>
      </c>
      <c r="T54" s="981">
        <f>E54*S54</f>
        <v>8.1474742800000008</v>
      </c>
      <c r="U54" s="983"/>
      <c r="V54" s="970" t="s">
        <v>381</v>
      </c>
      <c r="W54" s="972" t="s">
        <v>194</v>
      </c>
    </row>
    <row r="55" spans="1:228" s="210" customFormat="1" ht="12.75">
      <c r="A55" s="967"/>
      <c r="B55" s="969"/>
      <c r="C55" s="971"/>
      <c r="D55" s="973"/>
      <c r="E55" s="975"/>
      <c r="F55" s="985">
        <f>F54*$J$13/1000</f>
        <v>0.39261600000000002</v>
      </c>
      <c r="G55" s="986"/>
      <c r="H55" s="987"/>
      <c r="I55" s="985">
        <f>I54*$Q$13/1000</f>
        <v>0.34806347999999998</v>
      </c>
      <c r="J55" s="986"/>
      <c r="K55" s="987"/>
      <c r="L55" s="617"/>
      <c r="M55" s="394"/>
      <c r="N55" s="394"/>
      <c r="O55" s="394"/>
      <c r="P55" s="394"/>
      <c r="Q55" s="395"/>
      <c r="R55" s="980"/>
      <c r="S55" s="980"/>
      <c r="T55" s="982"/>
      <c r="U55" s="984"/>
      <c r="V55" s="971"/>
      <c r="W55" s="973"/>
    </row>
    <row r="56" spans="1:228" s="210" customFormat="1" ht="21.75" customHeight="1">
      <c r="A56" s="966">
        <f>+A54+1</f>
        <v>17</v>
      </c>
      <c r="B56" s="968" t="s">
        <v>459</v>
      </c>
      <c r="C56" s="988" t="s">
        <v>386</v>
      </c>
      <c r="D56" s="972" t="s">
        <v>116</v>
      </c>
      <c r="E56" s="990">
        <v>11</v>
      </c>
      <c r="F56" s="976">
        <v>0.22</v>
      </c>
      <c r="G56" s="977"/>
      <c r="H56" s="978"/>
      <c r="I56" s="976">
        <v>0.04</v>
      </c>
      <c r="J56" s="977"/>
      <c r="K56" s="978"/>
      <c r="L56" s="618" t="s">
        <v>20</v>
      </c>
      <c r="M56" s="697"/>
      <c r="N56" s="699"/>
      <c r="O56" s="699"/>
      <c r="P56" s="271"/>
      <c r="Q56" s="698"/>
      <c r="R56" s="696">
        <f>F57+I57</f>
        <v>0.64305239999999997</v>
      </c>
      <c r="S56" s="979">
        <f>R56+R57</f>
        <v>5.1896771295000015</v>
      </c>
      <c r="T56" s="979">
        <f>E56*S56</f>
        <v>57.08644842450002</v>
      </c>
      <c r="U56" s="992">
        <f>E56*R57</f>
        <v>50.012872024500012</v>
      </c>
      <c r="V56" s="988" t="s">
        <v>387</v>
      </c>
      <c r="W56" s="972" t="s">
        <v>194</v>
      </c>
      <c r="X56" s="706"/>
      <c r="Y56" s="707"/>
      <c r="Z56" s="700"/>
      <c r="AA56" s="401"/>
      <c r="AB56" s="401"/>
      <c r="AC56" s="401"/>
      <c r="AD56" s="401"/>
      <c r="AE56" s="401"/>
      <c r="AF56" s="401"/>
      <c r="AG56" s="401"/>
      <c r="AH56" s="401"/>
      <c r="AI56" s="401"/>
      <c r="AJ56" s="401"/>
      <c r="AK56" s="401"/>
      <c r="AL56" s="401"/>
      <c r="AM56" s="401"/>
    </row>
    <row r="57" spans="1:228" s="210" customFormat="1" ht="21.75" customHeight="1">
      <c r="A57" s="967"/>
      <c r="B57" s="969"/>
      <c r="C57" s="989"/>
      <c r="D57" s="973"/>
      <c r="E57" s="991"/>
      <c r="F57" s="976">
        <f>F56*$J$13/1000</f>
        <v>0.51414000000000004</v>
      </c>
      <c r="G57" s="977"/>
      <c r="H57" s="978"/>
      <c r="I57" s="976">
        <f>I56*$Q$13/1000</f>
        <v>0.12891239999999998</v>
      </c>
      <c r="J57" s="977"/>
      <c r="K57" s="978"/>
      <c r="L57" s="708" t="s">
        <v>385</v>
      </c>
      <c r="M57" s="246" t="s">
        <v>116</v>
      </c>
      <c r="N57" s="247">
        <v>1</v>
      </c>
      <c r="O57" s="250">
        <f>E56*N57</f>
        <v>11</v>
      </c>
      <c r="P57" s="243">
        <v>3.9449999999999998</v>
      </c>
      <c r="Q57" s="248">
        <f>N57*P57*$N$11</f>
        <v>4.5466247295000013</v>
      </c>
      <c r="R57" s="691">
        <f>SUM(Q57:Q57)</f>
        <v>4.5466247295000013</v>
      </c>
      <c r="S57" s="980"/>
      <c r="T57" s="980"/>
      <c r="U57" s="993"/>
      <c r="V57" s="989"/>
      <c r="W57" s="973"/>
      <c r="X57" s="565">
        <f>+P2</f>
        <v>0</v>
      </c>
      <c r="Y57" s="701"/>
      <c r="Z57" s="700"/>
      <c r="AA57" s="401"/>
      <c r="AB57" s="401"/>
      <c r="AC57" s="401"/>
      <c r="AD57" s="401"/>
      <c r="AE57" s="401"/>
      <c r="AF57" s="401"/>
      <c r="AG57" s="401"/>
      <c r="AH57" s="401"/>
      <c r="AI57" s="401"/>
      <c r="AJ57" s="401"/>
      <c r="AK57" s="401"/>
      <c r="AL57" s="401"/>
      <c r="AM57" s="401"/>
    </row>
    <row r="58" spans="1:228" s="157" customFormat="1" ht="12.95" customHeight="1">
      <c r="A58" s="966">
        <f>+A56+1</f>
        <v>18</v>
      </c>
      <c r="B58" s="968" t="s">
        <v>383</v>
      </c>
      <c r="C58" s="970" t="s">
        <v>384</v>
      </c>
      <c r="D58" s="972" t="s">
        <v>116</v>
      </c>
      <c r="E58" s="990">
        <f>+E56</f>
        <v>11</v>
      </c>
      <c r="F58" s="999">
        <v>0.14000000000000001</v>
      </c>
      <c r="G58" s="1000"/>
      <c r="H58" s="1001"/>
      <c r="I58" s="999">
        <v>0.1</v>
      </c>
      <c r="J58" s="1000"/>
      <c r="K58" s="1001"/>
      <c r="L58" s="251"/>
      <c r="M58" s="702"/>
      <c r="N58" s="703"/>
      <c r="O58" s="373"/>
      <c r="P58" s="704"/>
      <c r="Q58" s="692"/>
      <c r="R58" s="696">
        <f>F59+I59</f>
        <v>0.64946100000000007</v>
      </c>
      <c r="S58" s="979">
        <f>R58+R59</f>
        <v>3.9822556345428013</v>
      </c>
      <c r="T58" s="979">
        <f>E58*S58</f>
        <v>43.804811979970815</v>
      </c>
      <c r="U58" s="992">
        <f>E58*R59</f>
        <v>36.660740979970811</v>
      </c>
      <c r="V58" s="988" t="s">
        <v>391</v>
      </c>
      <c r="W58" s="972" t="s">
        <v>194</v>
      </c>
      <c r="X58" s="593"/>
      <c r="Y58" s="593"/>
      <c r="Z58" s="593"/>
      <c r="AA58" s="593"/>
      <c r="AB58" s="159"/>
      <c r="AC58" s="159"/>
      <c r="AD58" s="159"/>
      <c r="AE58" s="159"/>
      <c r="AF58" s="159"/>
      <c r="AG58" s="159"/>
      <c r="AH58" s="159"/>
      <c r="AI58" s="210"/>
      <c r="AJ58" s="210"/>
      <c r="AK58" s="210"/>
      <c r="AL58" s="210"/>
      <c r="AM58" s="210"/>
    </row>
    <row r="59" spans="1:228" s="157" customFormat="1" ht="15.75" customHeight="1">
      <c r="A59" s="994"/>
      <c r="B59" s="995"/>
      <c r="C59" s="996"/>
      <c r="D59" s="997"/>
      <c r="E59" s="998"/>
      <c r="F59" s="1017">
        <f>F58*$J$13/1000</f>
        <v>0.32718000000000003</v>
      </c>
      <c r="G59" s="1018"/>
      <c r="H59" s="1016"/>
      <c r="I59" s="1017">
        <f>I58*$Q$13/1000</f>
        <v>0.32228099999999998</v>
      </c>
      <c r="J59" s="1018"/>
      <c r="K59" s="1016"/>
      <c r="L59" s="252" t="s">
        <v>337</v>
      </c>
      <c r="M59" s="253" t="s">
        <v>124</v>
      </c>
      <c r="N59" s="409">
        <v>3.32</v>
      </c>
      <c r="O59" s="255">
        <f>E58*N59</f>
        <v>36.519999999999996</v>
      </c>
      <c r="P59" s="239">
        <v>0.8</v>
      </c>
      <c r="Q59" s="256">
        <f>N59*P59*$N$11</f>
        <v>3.0610482336000011</v>
      </c>
      <c r="R59" s="979">
        <f>SUM(Q59:Q61)</f>
        <v>3.3327946345428012</v>
      </c>
      <c r="S59" s="1002"/>
      <c r="T59" s="1002"/>
      <c r="U59" s="1019"/>
      <c r="V59" s="1020"/>
      <c r="W59" s="997"/>
      <c r="X59" s="593"/>
      <c r="Y59" s="593"/>
      <c r="Z59" s="593"/>
      <c r="AA59" s="593"/>
      <c r="AB59" s="159"/>
      <c r="AC59" s="159"/>
      <c r="AD59" s="159"/>
      <c r="AE59" s="159"/>
      <c r="AF59" s="159"/>
      <c r="AG59" s="159"/>
      <c r="AH59" s="159"/>
      <c r="AI59" s="210"/>
      <c r="AJ59" s="210"/>
      <c r="AK59" s="210"/>
      <c r="AL59" s="210"/>
      <c r="AM59" s="210"/>
    </row>
    <row r="60" spans="1:228" s="157" customFormat="1" ht="12.95" customHeight="1">
      <c r="A60" s="994"/>
      <c r="B60" s="995"/>
      <c r="C60" s="996"/>
      <c r="D60" s="997"/>
      <c r="E60" s="998"/>
      <c r="F60" s="1021"/>
      <c r="G60" s="1022"/>
      <c r="H60" s="1023"/>
      <c r="I60" s="1021"/>
      <c r="J60" s="1022"/>
      <c r="K60" s="1023"/>
      <c r="L60" s="600" t="s">
        <v>338</v>
      </c>
      <c r="M60" s="263" t="s">
        <v>122</v>
      </c>
      <c r="N60" s="410">
        <v>0.82</v>
      </c>
      <c r="O60" s="264">
        <f>E58*N60</f>
        <v>9.02</v>
      </c>
      <c r="P60" s="240">
        <f>88.4/1000</f>
        <v>8.8400000000000006E-2</v>
      </c>
      <c r="Q60" s="265">
        <f>N60*P60*$N$11</f>
        <v>8.3542644712800027E-2</v>
      </c>
      <c r="R60" s="1002"/>
      <c r="S60" s="1002"/>
      <c r="T60" s="1002"/>
      <c r="U60" s="1019"/>
      <c r="V60" s="1020"/>
      <c r="W60" s="997"/>
      <c r="X60" s="581"/>
      <c r="Y60" s="242"/>
    </row>
    <row r="61" spans="1:228" s="157" customFormat="1" ht="12.95" customHeight="1">
      <c r="A61" s="967"/>
      <c r="B61" s="969"/>
      <c r="C61" s="971"/>
      <c r="D61" s="973"/>
      <c r="E61" s="991"/>
      <c r="F61" s="985"/>
      <c r="G61" s="986"/>
      <c r="H61" s="987"/>
      <c r="I61" s="985"/>
      <c r="J61" s="986"/>
      <c r="K61" s="987"/>
      <c r="L61" s="266" t="s">
        <v>339</v>
      </c>
      <c r="M61" s="460" t="s">
        <v>122</v>
      </c>
      <c r="N61" s="411">
        <v>0.71</v>
      </c>
      <c r="O61" s="259">
        <f>E58*N61</f>
        <v>7.81</v>
      </c>
      <c r="P61" s="601">
        <v>0.23</v>
      </c>
      <c r="Q61" s="261">
        <f>N61*P61*$N$11</f>
        <v>0.18820375623000005</v>
      </c>
      <c r="R61" s="980"/>
      <c r="S61" s="980"/>
      <c r="T61" s="980"/>
      <c r="U61" s="993"/>
      <c r="V61" s="989"/>
      <c r="W61" s="973"/>
      <c r="X61" s="581"/>
      <c r="Y61" s="242"/>
    </row>
    <row r="62" spans="1:228" s="210" customFormat="1" ht="16.5" customHeight="1">
      <c r="A62" s="1024">
        <f>+A58+1</f>
        <v>19</v>
      </c>
      <c r="B62" s="968" t="s">
        <v>393</v>
      </c>
      <c r="C62" s="970" t="s">
        <v>392</v>
      </c>
      <c r="D62" s="972" t="s">
        <v>164</v>
      </c>
      <c r="E62" s="974">
        <v>2</v>
      </c>
      <c r="F62" s="1017">
        <f>1.31*0.6</f>
        <v>0.78600000000000003</v>
      </c>
      <c r="G62" s="1018"/>
      <c r="H62" s="1016"/>
      <c r="I62" s="1017">
        <f>0.09*0.6</f>
        <v>5.3999999999999999E-2</v>
      </c>
      <c r="J62" s="1018"/>
      <c r="K62" s="1016"/>
      <c r="L62" s="718"/>
      <c r="M62" s="674"/>
      <c r="N62" s="675"/>
      <c r="O62" s="675"/>
      <c r="P62" s="676"/>
      <c r="Q62" s="677"/>
      <c r="R62" s="696">
        <f>F63+I63</f>
        <v>2.0109137400000003</v>
      </c>
      <c r="S62" s="979">
        <f>R62+R63</f>
        <v>2.0109137400000003</v>
      </c>
      <c r="T62" s="979">
        <f>E62*S62</f>
        <v>4.0218274800000007</v>
      </c>
      <c r="U62" s="1016">
        <f>R63*E62</f>
        <v>0</v>
      </c>
      <c r="V62" s="970" t="s">
        <v>394</v>
      </c>
      <c r="W62" s="972" t="s">
        <v>197</v>
      </c>
    </row>
    <row r="63" spans="1:228" s="210" customFormat="1" ht="16.5" customHeight="1">
      <c r="A63" s="1025"/>
      <c r="B63" s="969"/>
      <c r="C63" s="971"/>
      <c r="D63" s="973"/>
      <c r="E63" s="975"/>
      <c r="F63" s="976">
        <f>F62*$J$13/1000</f>
        <v>1.8368820000000001</v>
      </c>
      <c r="G63" s="977"/>
      <c r="H63" s="978"/>
      <c r="I63" s="976">
        <f>I62*$Q$13/1000</f>
        <v>0.17403173999999999</v>
      </c>
      <c r="J63" s="977"/>
      <c r="K63" s="978"/>
      <c r="L63" s="719"/>
      <c r="M63" s="680"/>
      <c r="N63" s="681"/>
      <c r="O63" s="681"/>
      <c r="P63" s="682"/>
      <c r="Q63" s="683"/>
      <c r="R63" s="696">
        <f>SUM(Q63:Q63)</f>
        <v>0</v>
      </c>
      <c r="S63" s="980"/>
      <c r="T63" s="980"/>
      <c r="U63" s="987"/>
      <c r="V63" s="971"/>
      <c r="W63" s="973"/>
    </row>
    <row r="64" spans="1:228" s="535" customFormat="1" ht="16.5" customHeight="1">
      <c r="A64" s="1024">
        <f>+A62+1</f>
        <v>20</v>
      </c>
      <c r="B64" s="1027" t="s">
        <v>332</v>
      </c>
      <c r="C64" s="1014" t="s">
        <v>333</v>
      </c>
      <c r="D64" s="1003" t="s">
        <v>164</v>
      </c>
      <c r="E64" s="1005">
        <v>4</v>
      </c>
      <c r="F64" s="1007">
        <v>0.39</v>
      </c>
      <c r="G64" s="1008"/>
      <c r="H64" s="1009"/>
      <c r="I64" s="1007">
        <v>0.41</v>
      </c>
      <c r="J64" s="1008"/>
      <c r="K64" s="1009"/>
      <c r="L64" s="620"/>
      <c r="M64" s="530"/>
      <c r="N64" s="531"/>
      <c r="O64" s="531"/>
      <c r="P64" s="532"/>
      <c r="Q64" s="533"/>
      <c r="R64" s="534">
        <f>F65+I65</f>
        <v>2.2327821000000001</v>
      </c>
      <c r="S64" s="1010">
        <f>R64+R65</f>
        <v>12.797393850000004</v>
      </c>
      <c r="T64" s="1010">
        <f>E64*S64</f>
        <v>51.189575400000017</v>
      </c>
      <c r="U64" s="1012">
        <f>+R65*E64</f>
        <v>42.258447000000018</v>
      </c>
      <c r="V64" s="1014" t="s">
        <v>388</v>
      </c>
      <c r="W64" s="1003" t="s">
        <v>197</v>
      </c>
    </row>
    <row r="65" spans="1:39" s="535" customFormat="1" ht="16.5" customHeight="1">
      <c r="A65" s="1025"/>
      <c r="B65" s="1028"/>
      <c r="C65" s="1015"/>
      <c r="D65" s="1004"/>
      <c r="E65" s="1006"/>
      <c r="F65" s="1007">
        <f>F64*$J$13/1000</f>
        <v>0.91143000000000007</v>
      </c>
      <c r="G65" s="1008"/>
      <c r="H65" s="1009"/>
      <c r="I65" s="1007">
        <f>I64*$Q$13/1000</f>
        <v>1.3213520999999999</v>
      </c>
      <c r="J65" s="1008"/>
      <c r="K65" s="1009"/>
      <c r="L65" s="536" t="s">
        <v>273</v>
      </c>
      <c r="M65" s="537" t="s">
        <v>164</v>
      </c>
      <c r="N65" s="538">
        <v>1</v>
      </c>
      <c r="O65" s="539">
        <f>E64*N65</f>
        <v>4</v>
      </c>
      <c r="P65" s="470">
        <f>11/1.2</f>
        <v>9.1666666666666679</v>
      </c>
      <c r="Q65" s="540">
        <f>N65*P65*$N$11</f>
        <v>10.564611750000005</v>
      </c>
      <c r="R65" s="541">
        <f>+Q65</f>
        <v>10.564611750000005</v>
      </c>
      <c r="S65" s="1011"/>
      <c r="T65" s="1011"/>
      <c r="U65" s="1013"/>
      <c r="V65" s="1015"/>
      <c r="W65" s="1004"/>
    </row>
    <row r="66" spans="1:39" s="210" customFormat="1" ht="16.5" customHeight="1">
      <c r="A66" s="1024">
        <f>+A64+1</f>
        <v>21</v>
      </c>
      <c r="B66" s="968" t="s">
        <v>280</v>
      </c>
      <c r="C66" s="970" t="s">
        <v>395</v>
      </c>
      <c r="D66" s="972" t="s">
        <v>164</v>
      </c>
      <c r="E66" s="974">
        <v>2</v>
      </c>
      <c r="F66" s="1017">
        <v>1.31</v>
      </c>
      <c r="G66" s="1018"/>
      <c r="H66" s="1016"/>
      <c r="I66" s="1017">
        <v>0.09</v>
      </c>
      <c r="J66" s="1018"/>
      <c r="K66" s="1016"/>
      <c r="L66" s="420"/>
      <c r="M66" s="697"/>
      <c r="N66" s="542"/>
      <c r="O66" s="542"/>
      <c r="P66" s="469"/>
      <c r="Q66" s="695"/>
      <c r="R66" s="696">
        <f>F67+I67</f>
        <v>3.3515229000000004</v>
      </c>
      <c r="S66" s="979">
        <f>R66+R67</f>
        <v>79.224643650000033</v>
      </c>
      <c r="T66" s="979">
        <f>E66*S66</f>
        <v>158.44928730000007</v>
      </c>
      <c r="U66" s="1016">
        <f>R67*E66</f>
        <v>151.74624150000005</v>
      </c>
      <c r="V66" s="970" t="s">
        <v>389</v>
      </c>
      <c r="W66" s="972" t="s">
        <v>197</v>
      </c>
    </row>
    <row r="67" spans="1:39" s="210" customFormat="1" ht="16.5" customHeight="1">
      <c r="A67" s="1025"/>
      <c r="B67" s="969"/>
      <c r="C67" s="971"/>
      <c r="D67" s="973"/>
      <c r="E67" s="975"/>
      <c r="F67" s="976">
        <f>F66*$J$13/1000</f>
        <v>3.0614700000000004</v>
      </c>
      <c r="G67" s="977"/>
      <c r="H67" s="978"/>
      <c r="I67" s="976">
        <f>I66*$Q$13/1000</f>
        <v>0.29005289999999995</v>
      </c>
      <c r="J67" s="977"/>
      <c r="K67" s="978"/>
      <c r="L67" s="592" t="s">
        <v>390</v>
      </c>
      <c r="M67" s="246" t="s">
        <v>164</v>
      </c>
      <c r="N67" s="544">
        <v>1</v>
      </c>
      <c r="O67" s="545">
        <f>E66*N67</f>
        <v>2</v>
      </c>
      <c r="P67" s="341">
        <f>79/1.2</f>
        <v>65.833333333333343</v>
      </c>
      <c r="Q67" s="248">
        <f>N67*P67*$N$11</f>
        <v>75.873120750000027</v>
      </c>
      <c r="R67" s="696">
        <f>SUM(Q67:Q67)</f>
        <v>75.873120750000027</v>
      </c>
      <c r="S67" s="980"/>
      <c r="T67" s="980"/>
      <c r="U67" s="987"/>
      <c r="V67" s="971"/>
      <c r="W67" s="973"/>
    </row>
    <row r="68" spans="1:39" s="580" customFormat="1" ht="12.75" customHeight="1">
      <c r="A68" s="1026">
        <f>+A66+1</f>
        <v>22</v>
      </c>
      <c r="B68" s="1029" t="s">
        <v>396</v>
      </c>
      <c r="C68" s="970" t="s">
        <v>398</v>
      </c>
      <c r="D68" s="1030" t="s">
        <v>397</v>
      </c>
      <c r="E68" s="1031">
        <v>0.8</v>
      </c>
      <c r="F68" s="1032">
        <v>0.52</v>
      </c>
      <c r="G68" s="1032"/>
      <c r="H68" s="1032"/>
      <c r="I68" s="1033">
        <v>0.34</v>
      </c>
      <c r="J68" s="1033"/>
      <c r="K68" s="1033"/>
      <c r="L68" s="720"/>
      <c r="M68" s="697"/>
      <c r="N68" s="407"/>
      <c r="O68" s="699"/>
      <c r="P68" s="699"/>
      <c r="Q68" s="695"/>
      <c r="R68" s="705">
        <f>F69+I69</f>
        <v>2.3109954000000004</v>
      </c>
      <c r="S68" s="1032">
        <f>R68+R69</f>
        <v>37.820023436096179</v>
      </c>
      <c r="T68" s="1032">
        <f>E68*S68</f>
        <v>30.256018748876944</v>
      </c>
      <c r="U68" s="1032">
        <f>R69*E68</f>
        <v>28.407222428876942</v>
      </c>
      <c r="V68" s="1026" t="s">
        <v>398</v>
      </c>
      <c r="W68" s="1026" t="s">
        <v>397</v>
      </c>
    </row>
    <row r="69" spans="1:39" s="580" customFormat="1" ht="12.75" customHeight="1">
      <c r="A69" s="1026"/>
      <c r="B69" s="1029"/>
      <c r="C69" s="996"/>
      <c r="D69" s="1030"/>
      <c r="E69" s="1031"/>
      <c r="F69" s="1032">
        <f>F68*J$13/1000</f>
        <v>1.2152400000000001</v>
      </c>
      <c r="G69" s="1032"/>
      <c r="H69" s="1032"/>
      <c r="I69" s="1032">
        <f>I68*$Q$13/1000</f>
        <v>1.0957554</v>
      </c>
      <c r="J69" s="1032"/>
      <c r="K69" s="1032"/>
      <c r="L69" s="252" t="s">
        <v>399</v>
      </c>
      <c r="M69" s="253" t="s">
        <v>397</v>
      </c>
      <c r="N69" s="409">
        <v>1.02</v>
      </c>
      <c r="O69" s="255">
        <f>E68*N69</f>
        <v>0.81600000000000006</v>
      </c>
      <c r="P69" s="239">
        <v>29.856000000000002</v>
      </c>
      <c r="Q69" s="256">
        <f>N69*P69*$N$11</f>
        <v>35.097315204672014</v>
      </c>
      <c r="R69" s="1032">
        <f>SUM(Q69:Q71)</f>
        <v>35.509028036096176</v>
      </c>
      <c r="S69" s="1032"/>
      <c r="T69" s="1032"/>
      <c r="U69" s="1032"/>
      <c r="V69" s="1026"/>
      <c r="W69" s="1026"/>
    </row>
    <row r="70" spans="1:39" s="580" customFormat="1" ht="12.75" customHeight="1">
      <c r="A70" s="1026"/>
      <c r="B70" s="1029"/>
      <c r="C70" s="996"/>
      <c r="D70" s="1030"/>
      <c r="E70" s="1031"/>
      <c r="F70" s="1032"/>
      <c r="G70" s="1032"/>
      <c r="H70" s="1032"/>
      <c r="I70" s="1032"/>
      <c r="J70" s="1032"/>
      <c r="K70" s="1032"/>
      <c r="L70" s="262" t="s">
        <v>185</v>
      </c>
      <c r="M70" s="263" t="s">
        <v>342</v>
      </c>
      <c r="N70" s="410">
        <v>7.5399999999999995E-2</v>
      </c>
      <c r="O70" s="264">
        <f>E68*N70</f>
        <v>6.0319999999999999E-2</v>
      </c>
      <c r="P70" s="240">
        <v>3.5</v>
      </c>
      <c r="Q70" s="415">
        <f>N70*P70*$N$11</f>
        <v>0.30414556809000004</v>
      </c>
      <c r="R70" s="1032"/>
      <c r="S70" s="1032"/>
      <c r="T70" s="1032"/>
      <c r="U70" s="1032"/>
      <c r="V70" s="1026"/>
      <c r="W70" s="1026"/>
    </row>
    <row r="71" spans="1:39" s="580" customFormat="1" ht="12.75" customHeight="1">
      <c r="A71" s="1026"/>
      <c r="B71" s="1029"/>
      <c r="C71" s="971"/>
      <c r="D71" s="1030"/>
      <c r="E71" s="1031"/>
      <c r="F71" s="1032"/>
      <c r="G71" s="1032"/>
      <c r="H71" s="1032"/>
      <c r="I71" s="1032"/>
      <c r="J71" s="1032"/>
      <c r="K71" s="1032"/>
      <c r="L71" s="266" t="s">
        <v>187</v>
      </c>
      <c r="M71" s="257" t="s">
        <v>397</v>
      </c>
      <c r="N71" s="411">
        <f>0.08/100</f>
        <v>8.0000000000000004E-4</v>
      </c>
      <c r="O71" s="259">
        <f>E68*N71</f>
        <v>6.4000000000000005E-4</v>
      </c>
      <c r="P71" s="373">
        <v>116.667</v>
      </c>
      <c r="Q71" s="261">
        <f>N71*P71*$N$11</f>
        <v>0.10756726333416003</v>
      </c>
      <c r="R71" s="1032"/>
      <c r="S71" s="1032"/>
      <c r="T71" s="1032"/>
      <c r="U71" s="1032"/>
      <c r="V71" s="1026"/>
      <c r="W71" s="1026"/>
    </row>
    <row r="72" spans="1:39" s="210" customFormat="1" ht="21.75" customHeight="1">
      <c r="A72" s="966">
        <f>+A68+1</f>
        <v>23</v>
      </c>
      <c r="B72" s="968" t="s">
        <v>400</v>
      </c>
      <c r="C72" s="988" t="s">
        <v>408</v>
      </c>
      <c r="D72" s="972" t="s">
        <v>116</v>
      </c>
      <c r="E72" s="990">
        <v>1520</v>
      </c>
      <c r="F72" s="976">
        <v>7.0000000000000007E-2</v>
      </c>
      <c r="G72" s="977"/>
      <c r="H72" s="978"/>
      <c r="I72" s="976">
        <v>7.0000000000000007E-2</v>
      </c>
      <c r="J72" s="977"/>
      <c r="K72" s="978"/>
      <c r="L72" s="618" t="s">
        <v>20</v>
      </c>
      <c r="M72" s="697"/>
      <c r="N72" s="699"/>
      <c r="O72" s="699"/>
      <c r="P72" s="271"/>
      <c r="Q72" s="698"/>
      <c r="R72" s="696">
        <f>F73+I73</f>
        <v>0.38918670000000005</v>
      </c>
      <c r="S72" s="979">
        <f>R72+R73</f>
        <v>4.4436926058000008</v>
      </c>
      <c r="T72" s="979">
        <f>E72*S72</f>
        <v>6754.4127608160015</v>
      </c>
      <c r="U72" s="992">
        <f>E72*R73</f>
        <v>6162.8489768160016</v>
      </c>
      <c r="V72" s="988" t="s">
        <v>401</v>
      </c>
      <c r="W72" s="972" t="s">
        <v>194</v>
      </c>
      <c r="X72" s="706"/>
      <c r="Y72" s="707"/>
      <c r="Z72" s="700"/>
      <c r="AA72" s="401"/>
      <c r="AB72" s="401"/>
      <c r="AC72" s="401"/>
      <c r="AD72" s="401"/>
      <c r="AE72" s="401"/>
      <c r="AF72" s="401"/>
      <c r="AG72" s="401"/>
      <c r="AH72" s="401"/>
      <c r="AI72" s="401"/>
      <c r="AJ72" s="401"/>
      <c r="AK72" s="401"/>
      <c r="AL72" s="401"/>
      <c r="AM72" s="401"/>
    </row>
    <row r="73" spans="1:39" s="210" customFormat="1" ht="21.75" customHeight="1">
      <c r="A73" s="967"/>
      <c r="B73" s="969"/>
      <c r="C73" s="989"/>
      <c r="D73" s="973"/>
      <c r="E73" s="991"/>
      <c r="F73" s="976">
        <f>F72*$J$13/1000</f>
        <v>0.16359000000000001</v>
      </c>
      <c r="G73" s="977"/>
      <c r="H73" s="978"/>
      <c r="I73" s="976">
        <f>I72*$Q$13/1000</f>
        <v>0.22559670000000004</v>
      </c>
      <c r="J73" s="977"/>
      <c r="K73" s="978"/>
      <c r="L73" s="708" t="s">
        <v>402</v>
      </c>
      <c r="M73" s="246" t="s">
        <v>116</v>
      </c>
      <c r="N73" s="247">
        <v>1</v>
      </c>
      <c r="O73" s="250">
        <f>E72*N73</f>
        <v>1520</v>
      </c>
      <c r="P73" s="243">
        <v>3.5179999999999998</v>
      </c>
      <c r="Q73" s="248">
        <f>N73*P73*$N$11</f>
        <v>4.054505905800001</v>
      </c>
      <c r="R73" s="691">
        <f>SUM(Q73:Q73)</f>
        <v>4.054505905800001</v>
      </c>
      <c r="S73" s="980"/>
      <c r="T73" s="980"/>
      <c r="U73" s="993"/>
      <c r="V73" s="989"/>
      <c r="W73" s="973"/>
      <c r="X73" s="565">
        <f>+P18</f>
        <v>0</v>
      </c>
      <c r="Y73" s="701"/>
      <c r="Z73" s="700"/>
      <c r="AA73" s="401"/>
      <c r="AB73" s="401"/>
      <c r="AC73" s="401"/>
      <c r="AD73" s="401"/>
      <c r="AE73" s="401"/>
      <c r="AF73" s="401"/>
      <c r="AG73" s="401"/>
      <c r="AH73" s="401"/>
      <c r="AI73" s="401"/>
      <c r="AJ73" s="401"/>
      <c r="AK73" s="401"/>
      <c r="AL73" s="401"/>
      <c r="AM73" s="401"/>
    </row>
    <row r="74" spans="1:39" s="210" customFormat="1" ht="16.5" customHeight="1">
      <c r="A74" s="1024">
        <f>+A72+1</f>
        <v>24</v>
      </c>
      <c r="B74" s="968" t="s">
        <v>404</v>
      </c>
      <c r="C74" s="970" t="s">
        <v>403</v>
      </c>
      <c r="D74" s="972" t="s">
        <v>164</v>
      </c>
      <c r="E74" s="974">
        <v>30</v>
      </c>
      <c r="F74" s="1017">
        <f>3.45/10</f>
        <v>0.34500000000000003</v>
      </c>
      <c r="G74" s="1018"/>
      <c r="H74" s="1016"/>
      <c r="I74" s="1017">
        <f>2.27/10</f>
        <v>0.22700000000000001</v>
      </c>
      <c r="J74" s="1018"/>
      <c r="K74" s="1016"/>
      <c r="L74" s="420"/>
      <c r="M74" s="697"/>
      <c r="N74" s="542"/>
      <c r="O74" s="542"/>
      <c r="P74" s="469"/>
      <c r="Q74" s="695"/>
      <c r="R74" s="696">
        <f>F75+I75</f>
        <v>1.53784287</v>
      </c>
      <c r="S74" s="979">
        <f>R74+R75</f>
        <v>3.3703227990000006</v>
      </c>
      <c r="T74" s="979">
        <f>E74*S74</f>
        <v>101.10968397000002</v>
      </c>
      <c r="U74" s="1016">
        <f>R75*E74</f>
        <v>54.974397870000018</v>
      </c>
      <c r="V74" s="970" t="s">
        <v>403</v>
      </c>
      <c r="W74" s="972" t="s">
        <v>197</v>
      </c>
    </row>
    <row r="75" spans="1:39" s="210" customFormat="1" ht="16.5" customHeight="1">
      <c r="A75" s="1025"/>
      <c r="B75" s="969"/>
      <c r="C75" s="971"/>
      <c r="D75" s="973"/>
      <c r="E75" s="975"/>
      <c r="F75" s="976">
        <f>F74*$J$13/1000</f>
        <v>0.80626500000000012</v>
      </c>
      <c r="G75" s="977"/>
      <c r="H75" s="978"/>
      <c r="I75" s="976">
        <f>I74*$Q$13/1000</f>
        <v>0.73157786999999996</v>
      </c>
      <c r="J75" s="977"/>
      <c r="K75" s="978"/>
      <c r="L75" s="592" t="s">
        <v>405</v>
      </c>
      <c r="M75" s="246" t="s">
        <v>164</v>
      </c>
      <c r="N75" s="544">
        <v>1</v>
      </c>
      <c r="O75" s="545">
        <f>E74*N75</f>
        <v>30</v>
      </c>
      <c r="P75" s="247">
        <v>1.59</v>
      </c>
      <c r="Q75" s="248">
        <f>N75*P75*$N$11</f>
        <v>1.8324799290000007</v>
      </c>
      <c r="R75" s="696">
        <f>SUM(Q75:Q75)</f>
        <v>1.8324799290000007</v>
      </c>
      <c r="S75" s="980"/>
      <c r="T75" s="980"/>
      <c r="U75" s="987"/>
      <c r="V75" s="971"/>
      <c r="W75" s="973"/>
    </row>
    <row r="76" spans="1:39" s="210" customFormat="1" ht="16.5" customHeight="1">
      <c r="A76" s="1024">
        <f>+A74+1</f>
        <v>25</v>
      </c>
      <c r="B76" s="968" t="s">
        <v>404</v>
      </c>
      <c r="C76" s="970" t="s">
        <v>406</v>
      </c>
      <c r="D76" s="972" t="s">
        <v>164</v>
      </c>
      <c r="E76" s="974">
        <v>31</v>
      </c>
      <c r="F76" s="1017">
        <f>3.45/10</f>
        <v>0.34500000000000003</v>
      </c>
      <c r="G76" s="1018"/>
      <c r="H76" s="1016"/>
      <c r="I76" s="1017">
        <f>2.27/10</f>
        <v>0.22700000000000001</v>
      </c>
      <c r="J76" s="1018"/>
      <c r="K76" s="1016"/>
      <c r="L76" s="420"/>
      <c r="M76" s="697"/>
      <c r="N76" s="542"/>
      <c r="O76" s="542"/>
      <c r="P76" s="469"/>
      <c r="Q76" s="695"/>
      <c r="R76" s="696">
        <f>F77+I77</f>
        <v>1.53784287</v>
      </c>
      <c r="S76" s="979">
        <f>R76+R77</f>
        <v>1.9020338496</v>
      </c>
      <c r="T76" s="979">
        <f>E76*S76</f>
        <v>58.963049337599998</v>
      </c>
      <c r="U76" s="1016">
        <f>R77*E76</f>
        <v>11.289920367600004</v>
      </c>
      <c r="V76" s="970" t="s">
        <v>406</v>
      </c>
      <c r="W76" s="972" t="s">
        <v>197</v>
      </c>
    </row>
    <row r="77" spans="1:39" s="210" customFormat="1" ht="12.75">
      <c r="A77" s="1025"/>
      <c r="B77" s="969"/>
      <c r="C77" s="971"/>
      <c r="D77" s="973"/>
      <c r="E77" s="975"/>
      <c r="F77" s="976">
        <f>F76*$J$13/1000</f>
        <v>0.80626500000000012</v>
      </c>
      <c r="G77" s="977"/>
      <c r="H77" s="978"/>
      <c r="I77" s="976">
        <f>I76*$Q$13/1000</f>
        <v>0.73157786999999996</v>
      </c>
      <c r="J77" s="977"/>
      <c r="K77" s="978"/>
      <c r="L77" s="592" t="s">
        <v>407</v>
      </c>
      <c r="M77" s="246" t="s">
        <v>164</v>
      </c>
      <c r="N77" s="544">
        <v>1</v>
      </c>
      <c r="O77" s="545">
        <f>E76*N77</f>
        <v>31</v>
      </c>
      <c r="P77" s="243">
        <v>0.316</v>
      </c>
      <c r="Q77" s="248">
        <f>N77*P77*$N$11</f>
        <v>0.36419097960000013</v>
      </c>
      <c r="R77" s="696">
        <f>SUM(Q77:Q77)</f>
        <v>0.36419097960000013</v>
      </c>
      <c r="S77" s="980"/>
      <c r="T77" s="980"/>
      <c r="U77" s="987"/>
      <c r="V77" s="971"/>
      <c r="W77" s="973"/>
    </row>
    <row r="78" spans="1:39" s="210" customFormat="1" ht="21.75" customHeight="1">
      <c r="A78" s="966">
        <f>+A74+1</f>
        <v>25</v>
      </c>
      <c r="B78" s="968" t="s">
        <v>411</v>
      </c>
      <c r="C78" s="988" t="s">
        <v>409</v>
      </c>
      <c r="D78" s="972" t="s">
        <v>116</v>
      </c>
      <c r="E78" s="990">
        <v>60</v>
      </c>
      <c r="F78" s="976">
        <v>0.06</v>
      </c>
      <c r="G78" s="977"/>
      <c r="H78" s="978"/>
      <c r="I78" s="976">
        <v>0.05</v>
      </c>
      <c r="J78" s="977"/>
      <c r="K78" s="978"/>
      <c r="L78" s="618" t="s">
        <v>20</v>
      </c>
      <c r="M78" s="697"/>
      <c r="N78" s="699"/>
      <c r="O78" s="699"/>
      <c r="P78" s="271"/>
      <c r="Q78" s="698"/>
      <c r="R78" s="696">
        <f>F79+I79</f>
        <v>0.30136050000000003</v>
      </c>
      <c r="S78" s="979">
        <f>R78+R79</f>
        <v>0.46155843090000009</v>
      </c>
      <c r="T78" s="979">
        <f>E78*S78</f>
        <v>27.693505854000005</v>
      </c>
      <c r="U78" s="992">
        <f>E78*R79</f>
        <v>9.6118758540000044</v>
      </c>
      <c r="V78" s="988" t="s">
        <v>413</v>
      </c>
      <c r="W78" s="972" t="s">
        <v>194</v>
      </c>
      <c r="X78" s="706"/>
      <c r="Y78" s="707"/>
      <c r="Z78" s="700"/>
      <c r="AA78" s="401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</row>
    <row r="79" spans="1:39" s="210" customFormat="1" ht="21.75" customHeight="1">
      <c r="A79" s="967"/>
      <c r="B79" s="969"/>
      <c r="C79" s="989"/>
      <c r="D79" s="973"/>
      <c r="E79" s="991"/>
      <c r="F79" s="976">
        <f>F78*$J$13/1000</f>
        <v>0.14022000000000001</v>
      </c>
      <c r="G79" s="977"/>
      <c r="H79" s="978"/>
      <c r="I79" s="976">
        <f>I78*$Q$13/1000</f>
        <v>0.16114049999999999</v>
      </c>
      <c r="J79" s="977"/>
      <c r="K79" s="978"/>
      <c r="L79" s="708" t="s">
        <v>412</v>
      </c>
      <c r="M79" s="246" t="s">
        <v>116</v>
      </c>
      <c r="N79" s="247">
        <v>1</v>
      </c>
      <c r="O79" s="250">
        <f>E78*N79</f>
        <v>60</v>
      </c>
      <c r="P79" s="243">
        <v>0.13900000000000001</v>
      </c>
      <c r="Q79" s="248">
        <f>N79*P79*$N$11</f>
        <v>0.16019793090000006</v>
      </c>
      <c r="R79" s="691">
        <f>SUM(Q79:Q79)</f>
        <v>0.16019793090000006</v>
      </c>
      <c r="S79" s="980"/>
      <c r="T79" s="980"/>
      <c r="U79" s="993"/>
      <c r="V79" s="989"/>
      <c r="W79" s="973"/>
      <c r="X79" s="565">
        <f>+P24</f>
        <v>0</v>
      </c>
      <c r="Y79" s="701"/>
      <c r="Z79" s="700"/>
      <c r="AA79" s="401"/>
      <c r="AB79" s="401"/>
      <c r="AC79" s="401"/>
      <c r="AD79" s="401"/>
      <c r="AE79" s="401"/>
      <c r="AF79" s="401"/>
      <c r="AG79" s="401"/>
      <c r="AH79" s="401"/>
      <c r="AI79" s="401"/>
      <c r="AJ79" s="401"/>
      <c r="AK79" s="401"/>
      <c r="AL79" s="401"/>
      <c r="AM79" s="401"/>
    </row>
    <row r="80" spans="1:39" s="210" customFormat="1" ht="16.5" customHeight="1">
      <c r="A80" s="1024">
        <f>+A78+1</f>
        <v>26</v>
      </c>
      <c r="B80" s="968" t="s">
        <v>404</v>
      </c>
      <c r="C80" s="970" t="s">
        <v>403</v>
      </c>
      <c r="D80" s="972" t="s">
        <v>164</v>
      </c>
      <c r="E80" s="974">
        <v>1</v>
      </c>
      <c r="F80" s="1017">
        <f>3.45/10</f>
        <v>0.34500000000000003</v>
      </c>
      <c r="G80" s="1018"/>
      <c r="H80" s="1016"/>
      <c r="I80" s="1017">
        <f>2.27/10</f>
        <v>0.22700000000000001</v>
      </c>
      <c r="J80" s="1018"/>
      <c r="K80" s="1016"/>
      <c r="L80" s="420"/>
      <c r="M80" s="697"/>
      <c r="N80" s="542"/>
      <c r="O80" s="542"/>
      <c r="P80" s="469"/>
      <c r="Q80" s="695"/>
      <c r="R80" s="696">
        <f>F81+I81</f>
        <v>1.53784287</v>
      </c>
      <c r="S80" s="979">
        <f>R80+R81</f>
        <v>3.4625230470000004</v>
      </c>
      <c r="T80" s="979">
        <f>E80*S80</f>
        <v>3.4625230470000004</v>
      </c>
      <c r="U80" s="1016">
        <f>R81*E80</f>
        <v>1.9246801770000004</v>
      </c>
      <c r="V80" s="970" t="s">
        <v>403</v>
      </c>
      <c r="W80" s="972" t="s">
        <v>197</v>
      </c>
    </row>
    <row r="81" spans="1:39" s="210" customFormat="1" ht="16.5" customHeight="1">
      <c r="A81" s="1025"/>
      <c r="B81" s="969"/>
      <c r="C81" s="971"/>
      <c r="D81" s="973"/>
      <c r="E81" s="975"/>
      <c r="F81" s="976">
        <f>F80*$J$13/1000</f>
        <v>0.80626500000000012</v>
      </c>
      <c r="G81" s="977"/>
      <c r="H81" s="978"/>
      <c r="I81" s="976">
        <f>I80*$Q$13/1000</f>
        <v>0.73157786999999996</v>
      </c>
      <c r="J81" s="977"/>
      <c r="K81" s="978"/>
      <c r="L81" s="592" t="s">
        <v>405</v>
      </c>
      <c r="M81" s="246" t="s">
        <v>164</v>
      </c>
      <c r="N81" s="544">
        <v>1</v>
      </c>
      <c r="O81" s="545">
        <f>E80*N81</f>
        <v>1</v>
      </c>
      <c r="P81" s="247">
        <v>1.67</v>
      </c>
      <c r="Q81" s="248">
        <f>N81*P81*$N$11</f>
        <v>1.9246801770000004</v>
      </c>
      <c r="R81" s="696">
        <f>SUM(Q81:Q81)</f>
        <v>1.9246801770000004</v>
      </c>
      <c r="S81" s="980"/>
      <c r="T81" s="980"/>
      <c r="U81" s="987"/>
      <c r="V81" s="971"/>
      <c r="W81" s="973"/>
    </row>
    <row r="82" spans="1:39" s="210" customFormat="1" ht="21.75" customHeight="1">
      <c r="A82" s="966">
        <f>+A78+1</f>
        <v>26</v>
      </c>
      <c r="B82" s="968" t="s">
        <v>411</v>
      </c>
      <c r="C82" s="988" t="s">
        <v>414</v>
      </c>
      <c r="D82" s="972" t="s">
        <v>116</v>
      </c>
      <c r="E82" s="990">
        <v>18</v>
      </c>
      <c r="F82" s="976">
        <v>0.06</v>
      </c>
      <c r="G82" s="977"/>
      <c r="H82" s="978"/>
      <c r="I82" s="976">
        <v>0.05</v>
      </c>
      <c r="J82" s="977"/>
      <c r="K82" s="978"/>
      <c r="L82" s="618" t="s">
        <v>20</v>
      </c>
      <c r="M82" s="697"/>
      <c r="N82" s="699"/>
      <c r="O82" s="699"/>
      <c r="P82" s="271"/>
      <c r="Q82" s="698"/>
      <c r="R82" s="696">
        <f>F83+I83</f>
        <v>0.30136050000000003</v>
      </c>
      <c r="S82" s="979">
        <f>R82+R83</f>
        <v>1.1000451483000002</v>
      </c>
      <c r="T82" s="979">
        <f>E82*S82</f>
        <v>19.800812669400003</v>
      </c>
      <c r="U82" s="992">
        <f>E82*R83</f>
        <v>14.376323669400003</v>
      </c>
      <c r="V82" s="988" t="s">
        <v>413</v>
      </c>
      <c r="W82" s="972" t="s">
        <v>194</v>
      </c>
      <c r="X82" s="706"/>
      <c r="Y82" s="707"/>
      <c r="Z82" s="700"/>
      <c r="AA82" s="401"/>
      <c r="AB82" s="401"/>
      <c r="AC82" s="401"/>
      <c r="AD82" s="401"/>
      <c r="AE82" s="401"/>
      <c r="AF82" s="401"/>
      <c r="AG82" s="401"/>
      <c r="AH82" s="401"/>
      <c r="AI82" s="401"/>
      <c r="AJ82" s="401"/>
      <c r="AK82" s="401"/>
      <c r="AL82" s="401"/>
      <c r="AM82" s="401"/>
    </row>
    <row r="83" spans="1:39" s="210" customFormat="1" ht="21.75" customHeight="1">
      <c r="A83" s="967"/>
      <c r="B83" s="969"/>
      <c r="C83" s="989"/>
      <c r="D83" s="973"/>
      <c r="E83" s="991"/>
      <c r="F83" s="976">
        <f>F82*$J$13/1000</f>
        <v>0.14022000000000001</v>
      </c>
      <c r="G83" s="977"/>
      <c r="H83" s="978"/>
      <c r="I83" s="976">
        <f>I82*$Q$13/1000</f>
        <v>0.16114049999999999</v>
      </c>
      <c r="J83" s="977"/>
      <c r="K83" s="978"/>
      <c r="L83" s="708" t="s">
        <v>415</v>
      </c>
      <c r="M83" s="246" t="s">
        <v>116</v>
      </c>
      <c r="N83" s="247">
        <v>1</v>
      </c>
      <c r="O83" s="250">
        <f>E82*N83</f>
        <v>18</v>
      </c>
      <c r="P83" s="243">
        <v>0.69299999999999995</v>
      </c>
      <c r="Q83" s="248">
        <f>N83*P83*$N$11</f>
        <v>0.79868464830000019</v>
      </c>
      <c r="R83" s="691">
        <f>SUM(Q83:Q83)</f>
        <v>0.79868464830000019</v>
      </c>
      <c r="S83" s="980"/>
      <c r="T83" s="980"/>
      <c r="U83" s="993"/>
      <c r="V83" s="989"/>
      <c r="W83" s="973"/>
      <c r="X83" s="565">
        <f>+P28</f>
        <v>0</v>
      </c>
      <c r="Y83" s="701"/>
      <c r="Z83" s="700"/>
      <c r="AA83" s="401"/>
      <c r="AB83" s="401"/>
      <c r="AC83" s="401"/>
      <c r="AD83" s="401"/>
      <c r="AE83" s="401"/>
      <c r="AF83" s="401"/>
      <c r="AG83" s="401"/>
      <c r="AH83" s="401"/>
      <c r="AI83" s="401"/>
      <c r="AJ83" s="401"/>
      <c r="AK83" s="401"/>
      <c r="AL83" s="401"/>
      <c r="AM83" s="401"/>
    </row>
    <row r="84" spans="1:39" s="210" customFormat="1" ht="16.5" customHeight="1">
      <c r="A84" s="1024">
        <f>+A82+1</f>
        <v>27</v>
      </c>
      <c r="B84" s="968" t="s">
        <v>404</v>
      </c>
      <c r="C84" s="1034" t="s">
        <v>416</v>
      </c>
      <c r="D84" s="811" t="s">
        <v>164</v>
      </c>
      <c r="E84" s="974">
        <v>3</v>
      </c>
      <c r="F84" s="1017">
        <f>3.45/10</f>
        <v>0.34500000000000003</v>
      </c>
      <c r="G84" s="1018"/>
      <c r="H84" s="1016"/>
      <c r="I84" s="1017">
        <f>2.27/10</f>
        <v>0.22700000000000001</v>
      </c>
      <c r="J84" s="1018"/>
      <c r="K84" s="1016"/>
      <c r="L84" s="721"/>
      <c r="M84" s="687"/>
      <c r="N84" s="478"/>
      <c r="O84" s="478"/>
      <c r="P84" s="478"/>
      <c r="Q84" s="688"/>
      <c r="R84" s="479">
        <f>F85+I85</f>
        <v>1.53784287</v>
      </c>
      <c r="S84" s="805">
        <f>R84+R85</f>
        <v>28.42958187000001</v>
      </c>
      <c r="T84" s="1035">
        <f>E84*S84</f>
        <v>85.288745610000035</v>
      </c>
      <c r="U84" s="870">
        <f>E84*R85</f>
        <v>80.675217000000032</v>
      </c>
      <c r="V84" s="1034" t="s">
        <v>417</v>
      </c>
      <c r="W84" s="811" t="s">
        <v>197</v>
      </c>
    </row>
    <row r="85" spans="1:39" s="210" customFormat="1" ht="16.5" customHeight="1">
      <c r="A85" s="1025"/>
      <c r="B85" s="969"/>
      <c r="C85" s="1034"/>
      <c r="D85" s="886"/>
      <c r="E85" s="975"/>
      <c r="F85" s="976">
        <f>F84*$J$13/1000</f>
        <v>0.80626500000000012</v>
      </c>
      <c r="G85" s="977"/>
      <c r="H85" s="978"/>
      <c r="I85" s="976">
        <f>I84*$Q$13/1000</f>
        <v>0.73157786999999996</v>
      </c>
      <c r="J85" s="977"/>
      <c r="K85" s="978"/>
      <c r="L85" s="713" t="s">
        <v>418</v>
      </c>
      <c r="M85" s="474" t="s">
        <v>164</v>
      </c>
      <c r="N85" s="714">
        <v>1</v>
      </c>
      <c r="O85" s="715">
        <f>E84*N85</f>
        <v>3</v>
      </c>
      <c r="P85" s="475">
        <f>28/1.2</f>
        <v>23.333333333333336</v>
      </c>
      <c r="Q85" s="476">
        <f>N85*P85*$N$11</f>
        <v>26.891739000000012</v>
      </c>
      <c r="R85" s="686">
        <f>SUM(Q85:Q85)</f>
        <v>26.891739000000012</v>
      </c>
      <c r="S85" s="887"/>
      <c r="T85" s="1036"/>
      <c r="U85" s="1050"/>
      <c r="V85" s="1034"/>
      <c r="W85" s="886"/>
    </row>
    <row r="86" spans="1:39" s="576" customFormat="1" ht="14.25" customHeight="1">
      <c r="A86" s="966">
        <f t="shared" ref="A86:A94" si="10">+A84+1</f>
        <v>28</v>
      </c>
      <c r="B86" s="968" t="s">
        <v>419</v>
      </c>
      <c r="C86" s="1037" t="s">
        <v>423</v>
      </c>
      <c r="D86" s="972" t="s">
        <v>116</v>
      </c>
      <c r="E86" s="990">
        <v>1520</v>
      </c>
      <c r="F86" s="1039">
        <f>29.8/1000</f>
        <v>2.98E-2</v>
      </c>
      <c r="G86" s="1040"/>
      <c r="H86" s="1041"/>
      <c r="I86" s="1042"/>
      <c r="J86" s="1043"/>
      <c r="K86" s="1044"/>
      <c r="L86" s="709"/>
      <c r="M86" s="697"/>
      <c r="N86" s="699"/>
      <c r="O86" s="699"/>
      <c r="P86" s="699"/>
      <c r="Q86" s="695"/>
      <c r="R86" s="696">
        <f>F87+I87</f>
        <v>6.9642599999999999E-2</v>
      </c>
      <c r="S86" s="979">
        <f>R86+R87</f>
        <v>8.6001229001400004E-2</v>
      </c>
      <c r="T86" s="979">
        <f>E86*S86</f>
        <v>130.721868082128</v>
      </c>
      <c r="U86" s="1048">
        <f>R87*E86</f>
        <v>24.865116082128008</v>
      </c>
      <c r="V86" s="1037" t="s">
        <v>423</v>
      </c>
      <c r="W86" s="972" t="s">
        <v>194</v>
      </c>
      <c r="X86" s="210"/>
      <c r="Y86" s="210"/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159"/>
      <c r="AK86" s="159"/>
      <c r="AL86" s="159"/>
      <c r="AM86" s="210"/>
    </row>
    <row r="87" spans="1:39" s="576" customFormat="1" ht="14.25" customHeight="1">
      <c r="A87" s="967"/>
      <c r="B87" s="969"/>
      <c r="C87" s="1038"/>
      <c r="D87" s="973"/>
      <c r="E87" s="991"/>
      <c r="F87" s="976">
        <f>F86*J$13/1000</f>
        <v>6.9642599999999999E-2</v>
      </c>
      <c r="G87" s="977"/>
      <c r="H87" s="978"/>
      <c r="I87" s="1045">
        <f>I86*$Q$13/1000</f>
        <v>0</v>
      </c>
      <c r="J87" s="1046"/>
      <c r="K87" s="1047"/>
      <c r="L87" s="340" t="s">
        <v>420</v>
      </c>
      <c r="M87" s="246" t="s">
        <v>421</v>
      </c>
      <c r="N87" s="341">
        <v>9.4E-2</v>
      </c>
      <c r="O87" s="250">
        <f>E86*N87</f>
        <v>142.88</v>
      </c>
      <c r="P87" s="243">
        <v>0.151</v>
      </c>
      <c r="Q87" s="248">
        <f>N87*P87*$N$11</f>
        <v>1.6358629001400005E-2</v>
      </c>
      <c r="R87" s="696">
        <f>SUM(Q87:Q87)</f>
        <v>1.6358629001400005E-2</v>
      </c>
      <c r="S87" s="980"/>
      <c r="T87" s="980"/>
      <c r="U87" s="1049"/>
      <c r="V87" s="1038"/>
      <c r="W87" s="973"/>
      <c r="X87" s="210"/>
      <c r="Y87" s="210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9"/>
      <c r="AK87" s="159"/>
      <c r="AL87" s="159"/>
      <c r="AM87" s="210"/>
    </row>
    <row r="88" spans="1:39" s="576" customFormat="1" ht="14.25" customHeight="1">
      <c r="A88" s="966">
        <f t="shared" si="10"/>
        <v>29</v>
      </c>
      <c r="B88" s="968" t="s">
        <v>422</v>
      </c>
      <c r="C88" s="1037" t="s">
        <v>424</v>
      </c>
      <c r="D88" s="972" t="s">
        <v>116</v>
      </c>
      <c r="E88" s="990">
        <v>60</v>
      </c>
      <c r="F88" s="1039">
        <f>29.8/1000</f>
        <v>2.98E-2</v>
      </c>
      <c r="G88" s="1040"/>
      <c r="H88" s="1041"/>
      <c r="I88" s="1042"/>
      <c r="J88" s="1043"/>
      <c r="K88" s="1044"/>
      <c r="L88" s="709"/>
      <c r="M88" s="697"/>
      <c r="N88" s="699"/>
      <c r="O88" s="699"/>
      <c r="P88" s="699"/>
      <c r="Q88" s="695"/>
      <c r="R88" s="696">
        <f>F89+I89</f>
        <v>6.9642599999999999E-2</v>
      </c>
      <c r="S88" s="979">
        <f>R88+R89</f>
        <v>7.5037467011100006E-2</v>
      </c>
      <c r="T88" s="979">
        <f>E88*S88</f>
        <v>4.5022480206660003</v>
      </c>
      <c r="U88" s="1048">
        <f>R89*E88</f>
        <v>0.323692020666</v>
      </c>
      <c r="V88" s="1037" t="s">
        <v>424</v>
      </c>
      <c r="W88" s="972" t="s">
        <v>194</v>
      </c>
      <c r="X88" s="210"/>
      <c r="Y88" s="210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210"/>
    </row>
    <row r="89" spans="1:39" s="576" customFormat="1" ht="14.25" customHeight="1">
      <c r="A89" s="967"/>
      <c r="B89" s="969"/>
      <c r="C89" s="1038"/>
      <c r="D89" s="973"/>
      <c r="E89" s="991"/>
      <c r="F89" s="1039">
        <f>F88*J$13/1000</f>
        <v>6.9642599999999999E-2</v>
      </c>
      <c r="G89" s="1040"/>
      <c r="H89" s="1041"/>
      <c r="I89" s="1045">
        <f>I88*$Q$13/1000</f>
        <v>0</v>
      </c>
      <c r="J89" s="1046"/>
      <c r="K89" s="1047"/>
      <c r="L89" s="340" t="s">
        <v>420</v>
      </c>
      <c r="M89" s="246" t="s">
        <v>421</v>
      </c>
      <c r="N89" s="341">
        <v>3.1E-2</v>
      </c>
      <c r="O89" s="250">
        <f>E88*N89</f>
        <v>1.8599999999999999</v>
      </c>
      <c r="P89" s="243">
        <v>0.151</v>
      </c>
      <c r="Q89" s="248">
        <f>N89*P89*$N$11</f>
        <v>5.3948670111000005E-3</v>
      </c>
      <c r="R89" s="696">
        <f>SUM(Q89:Q89)</f>
        <v>5.3948670111000005E-3</v>
      </c>
      <c r="S89" s="980"/>
      <c r="T89" s="980"/>
      <c r="U89" s="1049"/>
      <c r="V89" s="1038"/>
      <c r="W89" s="973"/>
      <c r="X89" s="210"/>
      <c r="Y89" s="210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59"/>
      <c r="AK89" s="159"/>
      <c r="AL89" s="159"/>
      <c r="AM89" s="210"/>
    </row>
    <row r="90" spans="1:39" s="210" customFormat="1" ht="16.5" customHeight="1">
      <c r="A90" s="966">
        <f t="shared" si="10"/>
        <v>30</v>
      </c>
      <c r="B90" s="968" t="s">
        <v>404</v>
      </c>
      <c r="C90" s="988" t="s">
        <v>425</v>
      </c>
      <c r="D90" s="972" t="s">
        <v>164</v>
      </c>
      <c r="E90" s="974">
        <v>30</v>
      </c>
      <c r="F90" s="1017">
        <f>3.45/10</f>
        <v>0.34500000000000003</v>
      </c>
      <c r="G90" s="1018"/>
      <c r="H90" s="1016"/>
      <c r="I90" s="1017">
        <f>2.27/10</f>
        <v>0.22700000000000001</v>
      </c>
      <c r="J90" s="1018"/>
      <c r="K90" s="1016"/>
      <c r="L90" s="420"/>
      <c r="M90" s="697"/>
      <c r="N90" s="542"/>
      <c r="O90" s="542"/>
      <c r="P90" s="469"/>
      <c r="Q90" s="695"/>
      <c r="R90" s="696">
        <f>F91+I91</f>
        <v>1.53784287</v>
      </c>
      <c r="S90" s="979">
        <f>R90+R91</f>
        <v>2.92084659</v>
      </c>
      <c r="T90" s="979">
        <f>E90*S90</f>
        <v>87.625397700000008</v>
      </c>
      <c r="U90" s="1016">
        <f>R91*E90</f>
        <v>41.490111600000006</v>
      </c>
      <c r="V90" s="970" t="s">
        <v>425</v>
      </c>
      <c r="W90" s="972" t="s">
        <v>197</v>
      </c>
    </row>
    <row r="91" spans="1:39" s="210" customFormat="1" ht="12.75">
      <c r="A91" s="967"/>
      <c r="B91" s="969"/>
      <c r="C91" s="989"/>
      <c r="D91" s="973"/>
      <c r="E91" s="975"/>
      <c r="F91" s="976">
        <f>F90*$J$13/1000</f>
        <v>0.80626500000000012</v>
      </c>
      <c r="G91" s="977"/>
      <c r="H91" s="978"/>
      <c r="I91" s="976">
        <f>I90*$Q$13/1000</f>
        <v>0.73157786999999996</v>
      </c>
      <c r="J91" s="977"/>
      <c r="K91" s="978"/>
      <c r="L91" s="592" t="s">
        <v>425</v>
      </c>
      <c r="M91" s="246" t="s">
        <v>164</v>
      </c>
      <c r="N91" s="544">
        <v>1</v>
      </c>
      <c r="O91" s="545">
        <f>E90*N91</f>
        <v>30</v>
      </c>
      <c r="P91" s="243">
        <v>1.2</v>
      </c>
      <c r="Q91" s="248">
        <f>N91*P91*$N$11</f>
        <v>1.3830037200000003</v>
      </c>
      <c r="R91" s="696">
        <f>SUM(Q91:Q91)</f>
        <v>1.3830037200000003</v>
      </c>
      <c r="S91" s="980"/>
      <c r="T91" s="980"/>
      <c r="U91" s="987"/>
      <c r="V91" s="971"/>
      <c r="W91" s="973"/>
    </row>
    <row r="92" spans="1:39" s="210" customFormat="1" ht="16.5" customHeight="1">
      <c r="A92" s="966">
        <f t="shared" si="10"/>
        <v>31</v>
      </c>
      <c r="B92" s="968" t="s">
        <v>404</v>
      </c>
      <c r="C92" s="988" t="s">
        <v>426</v>
      </c>
      <c r="D92" s="972" t="s">
        <v>164</v>
      </c>
      <c r="E92" s="974">
        <v>10</v>
      </c>
      <c r="F92" s="1017">
        <f>3.45/10</f>
        <v>0.34500000000000003</v>
      </c>
      <c r="G92" s="1018"/>
      <c r="H92" s="1016"/>
      <c r="I92" s="1017">
        <f>2.27/10</f>
        <v>0.22700000000000001</v>
      </c>
      <c r="J92" s="1018"/>
      <c r="K92" s="1016"/>
      <c r="L92" s="420"/>
      <c r="M92" s="697"/>
      <c r="N92" s="542"/>
      <c r="O92" s="542"/>
      <c r="P92" s="469"/>
      <c r="Q92" s="695"/>
      <c r="R92" s="696">
        <f>F93+I93</f>
        <v>1.53784287</v>
      </c>
      <c r="S92" s="979">
        <f>R92+R93</f>
        <v>26.508743370000008</v>
      </c>
      <c r="T92" s="979">
        <f>E92*S92</f>
        <v>265.08743370000008</v>
      </c>
      <c r="U92" s="1016">
        <f>R93*E92</f>
        <v>249.7090050000001</v>
      </c>
      <c r="V92" s="988" t="s">
        <v>426</v>
      </c>
      <c r="W92" s="972" t="s">
        <v>197</v>
      </c>
    </row>
    <row r="93" spans="1:39" s="210" customFormat="1" ht="12.75">
      <c r="A93" s="967"/>
      <c r="B93" s="969"/>
      <c r="C93" s="989"/>
      <c r="D93" s="973"/>
      <c r="E93" s="975"/>
      <c r="F93" s="976">
        <f>F92*$J$13/1000</f>
        <v>0.80626500000000012</v>
      </c>
      <c r="G93" s="977"/>
      <c r="H93" s="978"/>
      <c r="I93" s="976">
        <f>I92*$Q$13/1000</f>
        <v>0.73157786999999996</v>
      </c>
      <c r="J93" s="977"/>
      <c r="K93" s="978"/>
      <c r="L93" s="592" t="s">
        <v>426</v>
      </c>
      <c r="M93" s="246" t="s">
        <v>164</v>
      </c>
      <c r="N93" s="544">
        <v>1</v>
      </c>
      <c r="O93" s="545">
        <f>E92*N93</f>
        <v>10</v>
      </c>
      <c r="P93" s="243">
        <f>26/1.2</f>
        <v>21.666666666666668</v>
      </c>
      <c r="Q93" s="248">
        <f>N93*P93*$N$11</f>
        <v>24.97090050000001</v>
      </c>
      <c r="R93" s="696">
        <f>SUM(Q93:Q93)</f>
        <v>24.97090050000001</v>
      </c>
      <c r="S93" s="980"/>
      <c r="T93" s="980"/>
      <c r="U93" s="987"/>
      <c r="V93" s="989"/>
      <c r="W93" s="973"/>
    </row>
    <row r="94" spans="1:39" s="210" customFormat="1" ht="16.5" customHeight="1">
      <c r="A94" s="966">
        <f t="shared" si="10"/>
        <v>32</v>
      </c>
      <c r="B94" s="968" t="s">
        <v>404</v>
      </c>
      <c r="C94" s="988" t="s">
        <v>427</v>
      </c>
      <c r="D94" s="972" t="s">
        <v>164</v>
      </c>
      <c r="E94" s="974">
        <v>1</v>
      </c>
      <c r="F94" s="1017">
        <f>3.45/10</f>
        <v>0.34500000000000003</v>
      </c>
      <c r="G94" s="1018"/>
      <c r="H94" s="1016"/>
      <c r="I94" s="1017">
        <f>2.27/10</f>
        <v>0.22700000000000001</v>
      </c>
      <c r="J94" s="1018"/>
      <c r="K94" s="1016"/>
      <c r="L94" s="420"/>
      <c r="M94" s="697"/>
      <c r="N94" s="542"/>
      <c r="O94" s="542"/>
      <c r="P94" s="469"/>
      <c r="Q94" s="695"/>
      <c r="R94" s="696">
        <f>F95+I95</f>
        <v>1.53784287</v>
      </c>
      <c r="S94" s="979">
        <f>R94+R95</f>
        <v>28.621665720000006</v>
      </c>
      <c r="T94" s="979">
        <f>E94*S94</f>
        <v>28.621665720000006</v>
      </c>
      <c r="U94" s="1016">
        <f>R95*E94</f>
        <v>27.083822850000008</v>
      </c>
      <c r="V94" s="988" t="s">
        <v>427</v>
      </c>
      <c r="W94" s="972" t="s">
        <v>197</v>
      </c>
    </row>
    <row r="95" spans="1:39" s="210" customFormat="1" ht="12.75">
      <c r="A95" s="967"/>
      <c r="B95" s="969"/>
      <c r="C95" s="989"/>
      <c r="D95" s="973"/>
      <c r="E95" s="975"/>
      <c r="F95" s="976">
        <f>F94*$J$13/1000</f>
        <v>0.80626500000000012</v>
      </c>
      <c r="G95" s="977"/>
      <c r="H95" s="978"/>
      <c r="I95" s="976">
        <f>I94*$Q$13/1000</f>
        <v>0.73157786999999996</v>
      </c>
      <c r="J95" s="977"/>
      <c r="K95" s="978"/>
      <c r="L95" s="592" t="s">
        <v>427</v>
      </c>
      <c r="M95" s="246" t="s">
        <v>164</v>
      </c>
      <c r="N95" s="544">
        <v>1</v>
      </c>
      <c r="O95" s="545">
        <f>E94*N95</f>
        <v>1</v>
      </c>
      <c r="P95" s="243">
        <f>28.2/1.2</f>
        <v>23.5</v>
      </c>
      <c r="Q95" s="248">
        <f>N95*P95*$N$11</f>
        <v>27.083822850000008</v>
      </c>
      <c r="R95" s="696">
        <f>SUM(Q95:Q95)</f>
        <v>27.083822850000008</v>
      </c>
      <c r="S95" s="980"/>
      <c r="T95" s="980"/>
      <c r="U95" s="987"/>
      <c r="V95" s="989"/>
      <c r="W95" s="973"/>
    </row>
    <row r="96" spans="1:39" s="210" customFormat="1" ht="16.5" customHeight="1">
      <c r="A96" s="966">
        <f>+A94+1</f>
        <v>33</v>
      </c>
      <c r="B96" s="968" t="s">
        <v>191</v>
      </c>
      <c r="C96" s="988" t="s">
        <v>428</v>
      </c>
      <c r="D96" s="972" t="s">
        <v>164</v>
      </c>
      <c r="E96" s="974">
        <v>2</v>
      </c>
      <c r="F96" s="976"/>
      <c r="G96" s="977"/>
      <c r="H96" s="978"/>
      <c r="I96" s="976"/>
      <c r="J96" s="977"/>
      <c r="K96" s="978"/>
      <c r="L96" s="420"/>
      <c r="M96" s="697"/>
      <c r="N96" s="542"/>
      <c r="O96" s="542"/>
      <c r="P96" s="469"/>
      <c r="Q96" s="695"/>
      <c r="R96" s="696">
        <f>F97+I97</f>
        <v>0</v>
      </c>
      <c r="S96" s="979">
        <f>R96+R97</f>
        <v>2.535506820000001</v>
      </c>
      <c r="T96" s="979">
        <f>E96*S96</f>
        <v>5.0710136400000021</v>
      </c>
      <c r="U96" s="979">
        <f>R97*E96</f>
        <v>5.0710136400000021</v>
      </c>
      <c r="V96" s="988" t="s">
        <v>428</v>
      </c>
      <c r="W96" s="972" t="s">
        <v>197</v>
      </c>
    </row>
    <row r="97" spans="1:31" s="210" customFormat="1" ht="12.75">
      <c r="A97" s="967"/>
      <c r="B97" s="969"/>
      <c r="C97" s="989"/>
      <c r="D97" s="973"/>
      <c r="E97" s="975"/>
      <c r="F97" s="976">
        <f>F96*$J$13/1000</f>
        <v>0</v>
      </c>
      <c r="G97" s="977"/>
      <c r="H97" s="978"/>
      <c r="I97" s="976">
        <f>I96*$Q$13/1000</f>
        <v>0</v>
      </c>
      <c r="J97" s="977"/>
      <c r="K97" s="978"/>
      <c r="L97" s="592" t="s">
        <v>429</v>
      </c>
      <c r="M97" s="246" t="s">
        <v>164</v>
      </c>
      <c r="N97" s="544">
        <v>1</v>
      </c>
      <c r="O97" s="545">
        <f>E96*N97</f>
        <v>2</v>
      </c>
      <c r="P97" s="243">
        <v>2.2000000000000002</v>
      </c>
      <c r="Q97" s="248">
        <f>N97*P97*$N$11</f>
        <v>2.535506820000001</v>
      </c>
      <c r="R97" s="696">
        <f>SUM(Q97:Q97)</f>
        <v>2.535506820000001</v>
      </c>
      <c r="S97" s="980"/>
      <c r="T97" s="980"/>
      <c r="U97" s="980"/>
      <c r="V97" s="989"/>
      <c r="W97" s="973"/>
    </row>
    <row r="98" spans="1:31" s="535" customFormat="1" ht="16.5" customHeight="1">
      <c r="A98" s="1051">
        <f>+A96+1</f>
        <v>34</v>
      </c>
      <c r="B98" s="1027" t="s">
        <v>340</v>
      </c>
      <c r="C98" s="1014" t="s">
        <v>430</v>
      </c>
      <c r="D98" s="1003" t="s">
        <v>164</v>
      </c>
      <c r="E98" s="1005">
        <v>4</v>
      </c>
      <c r="F98" s="1007">
        <v>0.22</v>
      </c>
      <c r="G98" s="1008"/>
      <c r="H98" s="1009"/>
      <c r="I98" s="1007">
        <f>0.23</f>
        <v>0.23</v>
      </c>
      <c r="J98" s="1008"/>
      <c r="K98" s="1009"/>
      <c r="L98" s="620"/>
      <c r="M98" s="530"/>
      <c r="N98" s="602"/>
      <c r="O98" s="602"/>
      <c r="P98" s="532"/>
      <c r="Q98" s="533"/>
      <c r="R98" s="534">
        <f>F99+I99</f>
        <v>1.2553863000000001</v>
      </c>
      <c r="S98" s="1010">
        <f>R98+R99</f>
        <v>5.5772729250000008</v>
      </c>
      <c r="T98" s="1010">
        <f>E98*S98</f>
        <v>22.309091700000003</v>
      </c>
      <c r="U98" s="1012">
        <f>+R99*E98</f>
        <v>17.287546500000005</v>
      </c>
      <c r="V98" s="1014" t="s">
        <v>431</v>
      </c>
      <c r="W98" s="1003" t="s">
        <v>197</v>
      </c>
    </row>
    <row r="99" spans="1:31" s="535" customFormat="1" ht="16.5" customHeight="1">
      <c r="A99" s="1052"/>
      <c r="B99" s="1028"/>
      <c r="C99" s="1015"/>
      <c r="D99" s="1004"/>
      <c r="E99" s="1006"/>
      <c r="F99" s="1007">
        <f>F98*$J$13/1000</f>
        <v>0.51414000000000004</v>
      </c>
      <c r="G99" s="1008"/>
      <c r="H99" s="1009"/>
      <c r="I99" s="1007">
        <f>I98*$Q$13/1000</f>
        <v>0.74124630000000002</v>
      </c>
      <c r="J99" s="1008"/>
      <c r="K99" s="1009"/>
      <c r="L99" s="536" t="s">
        <v>273</v>
      </c>
      <c r="M99" s="537" t="s">
        <v>164</v>
      </c>
      <c r="N99" s="538">
        <v>1</v>
      </c>
      <c r="O99" s="539">
        <f>E98*N99</f>
        <v>4</v>
      </c>
      <c r="P99" s="470">
        <f>4.5/1.2</f>
        <v>3.75</v>
      </c>
      <c r="Q99" s="540">
        <f>N99*P99*$N$11</f>
        <v>4.3218866250000012</v>
      </c>
      <c r="R99" s="541">
        <f>+Q99</f>
        <v>4.3218866250000012</v>
      </c>
      <c r="S99" s="1011"/>
      <c r="T99" s="1011"/>
      <c r="U99" s="1013"/>
      <c r="V99" s="1015"/>
      <c r="W99" s="1004"/>
    </row>
    <row r="100" spans="1:31" s="210" customFormat="1" ht="16.5" customHeight="1">
      <c r="A100" s="1024">
        <f>+A98+1</f>
        <v>35</v>
      </c>
      <c r="B100" s="968" t="s">
        <v>341</v>
      </c>
      <c r="C100" s="970" t="s">
        <v>432</v>
      </c>
      <c r="D100" s="972" t="s">
        <v>164</v>
      </c>
      <c r="E100" s="974">
        <v>2</v>
      </c>
      <c r="F100" s="1017">
        <v>0.79</v>
      </c>
      <c r="G100" s="1018"/>
      <c r="H100" s="1016"/>
      <c r="I100" s="1017">
        <v>0.06</v>
      </c>
      <c r="J100" s="1018"/>
      <c r="K100" s="1016"/>
      <c r="L100" s="420"/>
      <c r="M100" s="697"/>
      <c r="N100" s="542"/>
      <c r="O100" s="542"/>
      <c r="P100" s="716"/>
      <c r="Q100" s="698"/>
      <c r="R100" s="696">
        <f>F101+I101</f>
        <v>2.0395986000000002</v>
      </c>
      <c r="S100" s="979">
        <f>R100+R101</f>
        <v>41.416787850000013</v>
      </c>
      <c r="T100" s="979">
        <f>E100*S100</f>
        <v>82.833575700000026</v>
      </c>
      <c r="U100" s="1016">
        <f>R101*E100</f>
        <v>78.75437850000003</v>
      </c>
      <c r="V100" s="970" t="s">
        <v>432</v>
      </c>
      <c r="W100" s="972" t="s">
        <v>164</v>
      </c>
    </row>
    <row r="101" spans="1:31" s="210" customFormat="1" ht="16.5" customHeight="1">
      <c r="A101" s="1025"/>
      <c r="B101" s="969"/>
      <c r="C101" s="971"/>
      <c r="D101" s="973"/>
      <c r="E101" s="975"/>
      <c r="F101" s="976">
        <f>F100*$J$13/1000</f>
        <v>1.84623</v>
      </c>
      <c r="G101" s="977"/>
      <c r="H101" s="978"/>
      <c r="I101" s="976">
        <f>I100*$Q$13/1000</f>
        <v>0.19336859999999997</v>
      </c>
      <c r="J101" s="977"/>
      <c r="K101" s="978"/>
      <c r="L101" s="592" t="s">
        <v>433</v>
      </c>
      <c r="M101" s="246" t="s">
        <v>164</v>
      </c>
      <c r="N101" s="544">
        <v>1</v>
      </c>
      <c r="O101" s="545">
        <f>E100*N101</f>
        <v>2</v>
      </c>
      <c r="P101" s="341">
        <f>41/1.2</f>
        <v>34.166666666666671</v>
      </c>
      <c r="Q101" s="248">
        <f>N101*P101*$N$11</f>
        <v>39.377189250000015</v>
      </c>
      <c r="R101" s="696">
        <f>SUM(Q101:Q101)</f>
        <v>39.377189250000015</v>
      </c>
      <c r="S101" s="980"/>
      <c r="T101" s="980"/>
      <c r="U101" s="987"/>
      <c r="V101" s="971"/>
      <c r="W101" s="973"/>
    </row>
    <row r="102" spans="1:31" s="210" customFormat="1" ht="16.5" customHeight="1">
      <c r="A102" s="966">
        <f>+A100+1</f>
        <v>36</v>
      </c>
      <c r="B102" s="968" t="s">
        <v>191</v>
      </c>
      <c r="C102" s="988" t="s">
        <v>434</v>
      </c>
      <c r="D102" s="972" t="s">
        <v>164</v>
      </c>
      <c r="E102" s="974">
        <v>1</v>
      </c>
      <c r="F102" s="976"/>
      <c r="G102" s="977"/>
      <c r="H102" s="978"/>
      <c r="I102" s="976"/>
      <c r="J102" s="977"/>
      <c r="K102" s="978"/>
      <c r="L102" s="420"/>
      <c r="M102" s="697"/>
      <c r="N102" s="542"/>
      <c r="O102" s="542"/>
      <c r="P102" s="469"/>
      <c r="Q102" s="695"/>
      <c r="R102" s="696">
        <f>F103+I103</f>
        <v>0</v>
      </c>
      <c r="S102" s="979">
        <f>R102+R103</f>
        <v>0.63387670500000026</v>
      </c>
      <c r="T102" s="979">
        <f>E102*S102</f>
        <v>0.63387670500000026</v>
      </c>
      <c r="U102" s="979">
        <f>R103*E102</f>
        <v>0.63387670500000026</v>
      </c>
      <c r="V102" s="970" t="s">
        <v>434</v>
      </c>
      <c r="W102" s="972" t="s">
        <v>197</v>
      </c>
    </row>
    <row r="103" spans="1:31" s="210" customFormat="1" ht="19.5">
      <c r="A103" s="967"/>
      <c r="B103" s="969"/>
      <c r="C103" s="989"/>
      <c r="D103" s="973"/>
      <c r="E103" s="975"/>
      <c r="F103" s="976">
        <f>F102*$J$13/1000</f>
        <v>0</v>
      </c>
      <c r="G103" s="977"/>
      <c r="H103" s="978"/>
      <c r="I103" s="976">
        <f>I102*$Q$13/1000</f>
        <v>0</v>
      </c>
      <c r="J103" s="977"/>
      <c r="K103" s="978"/>
      <c r="L103" s="592" t="s">
        <v>434</v>
      </c>
      <c r="M103" s="246" t="s">
        <v>164</v>
      </c>
      <c r="N103" s="544">
        <v>1</v>
      </c>
      <c r="O103" s="545">
        <f>E102*N103</f>
        <v>1</v>
      </c>
      <c r="P103" s="243">
        <v>0.55000000000000004</v>
      </c>
      <c r="Q103" s="248">
        <f>N103*P103*$N$11</f>
        <v>0.63387670500000026</v>
      </c>
      <c r="R103" s="696">
        <f>SUM(Q103:Q103)</f>
        <v>0.63387670500000026</v>
      </c>
      <c r="S103" s="980"/>
      <c r="T103" s="980"/>
      <c r="U103" s="980"/>
      <c r="V103" s="971"/>
      <c r="W103" s="973"/>
    </row>
    <row r="104" spans="1:31" s="157" customFormat="1" ht="21.75" customHeight="1">
      <c r="A104" s="1056">
        <f>+A102+1</f>
        <v>37</v>
      </c>
      <c r="B104" s="968" t="s">
        <v>148</v>
      </c>
      <c r="C104" s="988" t="s">
        <v>435</v>
      </c>
      <c r="D104" s="972" t="s">
        <v>124</v>
      </c>
      <c r="E104" s="990">
        <v>3.3</v>
      </c>
      <c r="F104" s="1053">
        <f>0.001*190</f>
        <v>0.19</v>
      </c>
      <c r="G104" s="1054"/>
      <c r="H104" s="1055"/>
      <c r="I104" s="1053">
        <f>0.001*162</f>
        <v>0.16200000000000001</v>
      </c>
      <c r="J104" s="1054"/>
      <c r="K104" s="1055"/>
      <c r="L104" s="420"/>
      <c r="M104" s="697"/>
      <c r="N104" s="699"/>
      <c r="O104" s="699"/>
      <c r="P104" s="699"/>
      <c r="Q104" s="695"/>
      <c r="R104" s="696">
        <f>F105+I105</f>
        <v>0.96612522000000012</v>
      </c>
      <c r="S104" s="979">
        <f>R104+R105</f>
        <v>2.3491289400000004</v>
      </c>
      <c r="T104" s="979">
        <f>E104*S104</f>
        <v>7.7521255020000011</v>
      </c>
      <c r="U104" s="1048">
        <f>R105*E104</f>
        <v>4.5639122760000008</v>
      </c>
      <c r="V104" s="988" t="s">
        <v>436</v>
      </c>
      <c r="W104" s="972" t="s">
        <v>199</v>
      </c>
      <c r="Y104" s="242"/>
      <c r="Z104" s="242"/>
    </row>
    <row r="105" spans="1:31" s="157" customFormat="1" ht="21.75" customHeight="1">
      <c r="A105" s="1057"/>
      <c r="B105" s="969"/>
      <c r="C105" s="989"/>
      <c r="D105" s="973"/>
      <c r="E105" s="991"/>
      <c r="F105" s="976">
        <f>F104*J$13/1000</f>
        <v>0.44403000000000004</v>
      </c>
      <c r="G105" s="977"/>
      <c r="H105" s="978"/>
      <c r="I105" s="976">
        <f>I104*$Q$13/1000</f>
        <v>0.52209522000000008</v>
      </c>
      <c r="J105" s="977"/>
      <c r="K105" s="978"/>
      <c r="L105" s="340" t="s">
        <v>149</v>
      </c>
      <c r="M105" s="246" t="s">
        <v>124</v>
      </c>
      <c r="N105" s="341">
        <v>1</v>
      </c>
      <c r="O105" s="250">
        <f>E104*N105</f>
        <v>3.3</v>
      </c>
      <c r="P105" s="243">
        <v>1.2</v>
      </c>
      <c r="Q105" s="248">
        <f>N105*P105*$N$11</f>
        <v>1.3830037200000003</v>
      </c>
      <c r="R105" s="696">
        <f>SUM(Q105:Q105)</f>
        <v>1.3830037200000003</v>
      </c>
      <c r="S105" s="980"/>
      <c r="T105" s="980"/>
      <c r="U105" s="1049"/>
      <c r="V105" s="989"/>
      <c r="W105" s="973"/>
      <c r="X105" s="157">
        <f>21*1.58</f>
        <v>33.18</v>
      </c>
      <c r="Y105" s="242"/>
      <c r="Z105" s="242"/>
    </row>
    <row r="106" spans="1:31" s="210" customFormat="1" ht="16.5" customHeight="1">
      <c r="A106" s="966">
        <f>+A104+1</f>
        <v>38</v>
      </c>
      <c r="B106" s="968" t="s">
        <v>191</v>
      </c>
      <c r="C106" s="988" t="s">
        <v>437</v>
      </c>
      <c r="D106" s="972" t="s">
        <v>164</v>
      </c>
      <c r="E106" s="974">
        <v>2</v>
      </c>
      <c r="F106" s="976"/>
      <c r="G106" s="977"/>
      <c r="H106" s="978"/>
      <c r="I106" s="976"/>
      <c r="J106" s="977"/>
      <c r="K106" s="978"/>
      <c r="L106" s="420"/>
      <c r="M106" s="697"/>
      <c r="N106" s="542"/>
      <c r="O106" s="542"/>
      <c r="P106" s="469"/>
      <c r="Q106" s="695"/>
      <c r="R106" s="696">
        <f>F107+I107</f>
        <v>0</v>
      </c>
      <c r="S106" s="979">
        <f>R106+R107</f>
        <v>0.92200248000000029</v>
      </c>
      <c r="T106" s="979">
        <f>E106*S106</f>
        <v>1.8440049600000006</v>
      </c>
      <c r="U106" s="979">
        <f>R107*E106</f>
        <v>1.8440049600000006</v>
      </c>
      <c r="V106" s="970" t="s">
        <v>437</v>
      </c>
      <c r="W106" s="972" t="s">
        <v>197</v>
      </c>
    </row>
    <row r="107" spans="1:31" s="210" customFormat="1" ht="12.75">
      <c r="A107" s="967"/>
      <c r="B107" s="969"/>
      <c r="C107" s="989"/>
      <c r="D107" s="973"/>
      <c r="E107" s="975"/>
      <c r="F107" s="976">
        <f>F106*$J$13/1000</f>
        <v>0</v>
      </c>
      <c r="G107" s="977"/>
      <c r="H107" s="978"/>
      <c r="I107" s="976">
        <f>I106*$Q$13/1000</f>
        <v>0</v>
      </c>
      <c r="J107" s="977"/>
      <c r="K107" s="978"/>
      <c r="L107" s="592" t="s">
        <v>437</v>
      </c>
      <c r="M107" s="246" t="s">
        <v>164</v>
      </c>
      <c r="N107" s="544">
        <v>1</v>
      </c>
      <c r="O107" s="545">
        <f>E106*N107</f>
        <v>2</v>
      </c>
      <c r="P107" s="243">
        <v>0.8</v>
      </c>
      <c r="Q107" s="248">
        <f>N107*P107*$N$11</f>
        <v>0.92200248000000029</v>
      </c>
      <c r="R107" s="696">
        <f>SUM(Q107:Q107)</f>
        <v>0.92200248000000029</v>
      </c>
      <c r="S107" s="980"/>
      <c r="T107" s="980"/>
      <c r="U107" s="980"/>
      <c r="V107" s="971"/>
      <c r="W107" s="973"/>
    </row>
    <row r="108" spans="1:31" s="722" customFormat="1" ht="34.5" customHeight="1">
      <c r="A108" s="730"/>
      <c r="B108" s="731"/>
      <c r="C108" s="732" t="s">
        <v>457</v>
      </c>
      <c r="D108" s="733"/>
      <c r="E108" s="733"/>
      <c r="F108" s="734"/>
      <c r="G108" s="735"/>
      <c r="H108" s="736"/>
      <c r="I108" s="736"/>
      <c r="J108" s="736"/>
      <c r="K108" s="736"/>
      <c r="L108" s="730"/>
      <c r="M108" s="736"/>
      <c r="N108" s="736"/>
      <c r="O108" s="736"/>
      <c r="P108" s="736"/>
      <c r="Q108" s="736"/>
      <c r="R108" s="736"/>
      <c r="S108" s="736"/>
      <c r="T108" s="736"/>
      <c r="U108" s="736"/>
      <c r="V108" s="737" t="s">
        <v>438</v>
      </c>
      <c r="W108" s="733"/>
      <c r="X108" s="730"/>
      <c r="Y108" s="730"/>
      <c r="Z108" s="730"/>
      <c r="AA108" s="730"/>
      <c r="AB108" s="730"/>
      <c r="AC108" s="730"/>
      <c r="AD108" s="730"/>
      <c r="AE108" s="730"/>
    </row>
    <row r="109" spans="1:31" s="622" customFormat="1" ht="12.75" customHeight="1">
      <c r="A109" s="1061">
        <v>1</v>
      </c>
      <c r="B109" s="1064" t="s">
        <v>439</v>
      </c>
      <c r="C109" s="1066" t="s">
        <v>440</v>
      </c>
      <c r="D109" s="1061" t="s">
        <v>184</v>
      </c>
      <c r="E109" s="1068">
        <v>4</v>
      </c>
      <c r="F109" s="1070">
        <v>5.89</v>
      </c>
      <c r="G109" s="1070"/>
      <c r="H109" s="1070"/>
      <c r="I109" s="1071">
        <v>7.14</v>
      </c>
      <c r="J109" s="1071"/>
      <c r="K109" s="1071"/>
      <c r="L109" s="738"/>
      <c r="M109" s="739"/>
      <c r="N109" s="739"/>
      <c r="O109" s="740"/>
      <c r="P109" s="739"/>
      <c r="Q109" s="741"/>
      <c r="R109" s="693">
        <f>F110+I110</f>
        <v>36.775793399999998</v>
      </c>
      <c r="S109" s="1094">
        <f>R109+R110</f>
        <v>135.49225819980393</v>
      </c>
      <c r="T109" s="1070">
        <f>E109*S109</f>
        <v>541.96903279921571</v>
      </c>
      <c r="U109" s="1095">
        <f>R110*E109</f>
        <v>394.86585919921572</v>
      </c>
      <c r="V109" s="1066" t="s">
        <v>440</v>
      </c>
      <c r="W109" s="1061" t="s">
        <v>184</v>
      </c>
      <c r="X109" s="580"/>
      <c r="Y109" s="580"/>
      <c r="Z109" s="580"/>
      <c r="AA109" s="580"/>
      <c r="AB109" s="580"/>
      <c r="AC109" s="580"/>
      <c r="AD109" s="580"/>
      <c r="AE109" s="580"/>
    </row>
    <row r="110" spans="1:31" s="622" customFormat="1" ht="12.75" customHeight="1">
      <c r="A110" s="1062"/>
      <c r="B110" s="1065"/>
      <c r="C110" s="1067"/>
      <c r="D110" s="1062"/>
      <c r="E110" s="1069"/>
      <c r="F110" s="1070">
        <f>F109*J$13/1000</f>
        <v>13.764929999999998</v>
      </c>
      <c r="G110" s="1070"/>
      <c r="H110" s="1070"/>
      <c r="I110" s="1070">
        <f>I109*$Q$13/1000</f>
        <v>23.010863399999998</v>
      </c>
      <c r="J110" s="1070"/>
      <c r="K110" s="1070"/>
      <c r="L110" s="742" t="s">
        <v>441</v>
      </c>
      <c r="M110" s="743" t="s">
        <v>184</v>
      </c>
      <c r="N110" s="743">
        <v>1</v>
      </c>
      <c r="O110" s="744">
        <f>E109*N110</f>
        <v>4</v>
      </c>
      <c r="P110" s="745">
        <v>63.1</v>
      </c>
      <c r="Q110" s="746">
        <f>N110*P110*$N$11</f>
        <v>72.722945610000025</v>
      </c>
      <c r="R110" s="1070">
        <f>SUM(Q110:Q112)</f>
        <v>98.71646479980393</v>
      </c>
      <c r="S110" s="1094"/>
      <c r="T110" s="1070"/>
      <c r="U110" s="1095"/>
      <c r="V110" s="1067"/>
      <c r="W110" s="1062"/>
      <c r="X110" s="580"/>
      <c r="Y110" s="580"/>
      <c r="Z110" s="580"/>
      <c r="AA110" s="580"/>
      <c r="AB110" s="580"/>
      <c r="AC110" s="580"/>
      <c r="AD110" s="580"/>
      <c r="AE110" s="580"/>
    </row>
    <row r="111" spans="1:31" s="622" customFormat="1" ht="12.75" customHeight="1">
      <c r="A111" s="1062"/>
      <c r="B111" s="1065"/>
      <c r="C111" s="1067"/>
      <c r="D111" s="1062"/>
      <c r="E111" s="1069"/>
      <c r="F111" s="1070"/>
      <c r="G111" s="1070"/>
      <c r="H111" s="1070"/>
      <c r="I111" s="1070"/>
      <c r="J111" s="1070"/>
      <c r="K111" s="1070"/>
      <c r="L111" s="747" t="s">
        <v>455</v>
      </c>
      <c r="M111" s="748" t="s">
        <v>184</v>
      </c>
      <c r="N111" s="748">
        <v>0.157</v>
      </c>
      <c r="O111" s="749">
        <f>E109*N111</f>
        <v>0.628</v>
      </c>
      <c r="P111" s="750">
        <v>24.667000000000002</v>
      </c>
      <c r="Q111" s="751">
        <f>N111*P111*$N$11</f>
        <v>4.4633206529289016</v>
      </c>
      <c r="R111" s="1070"/>
      <c r="S111" s="1094"/>
      <c r="T111" s="1070"/>
      <c r="U111" s="1095"/>
      <c r="V111" s="1067"/>
      <c r="W111" s="1062"/>
      <c r="X111" s="580"/>
      <c r="Y111" s="580"/>
      <c r="Z111" s="580"/>
      <c r="AA111" s="580"/>
      <c r="AB111" s="580"/>
      <c r="AC111" s="580"/>
      <c r="AD111" s="580"/>
      <c r="AE111" s="580"/>
    </row>
    <row r="112" spans="1:31" s="622" customFormat="1" ht="12.75" customHeight="1">
      <c r="A112" s="1063"/>
      <c r="B112" s="1065"/>
      <c r="C112" s="1067"/>
      <c r="D112" s="1062"/>
      <c r="E112" s="1069"/>
      <c r="F112" s="1070"/>
      <c r="G112" s="1070"/>
      <c r="H112" s="1070"/>
      <c r="I112" s="1070"/>
      <c r="J112" s="1070"/>
      <c r="K112" s="1070"/>
      <c r="L112" s="752" t="s">
        <v>262</v>
      </c>
      <c r="M112" s="753" t="s">
        <v>326</v>
      </c>
      <c r="N112" s="753">
        <v>6.0999999999999999E-2</v>
      </c>
      <c r="O112" s="754">
        <f>E109*N112</f>
        <v>0.24399999999999999</v>
      </c>
      <c r="P112" s="755">
        <v>306.25</v>
      </c>
      <c r="Q112" s="756">
        <f>N112*P112*$N$11</f>
        <v>21.530198536875005</v>
      </c>
      <c r="R112" s="1070"/>
      <c r="S112" s="1094"/>
      <c r="T112" s="1070"/>
      <c r="U112" s="1095"/>
      <c r="V112" s="1067"/>
      <c r="W112" s="1062"/>
      <c r="X112" s="580"/>
      <c r="Y112" s="580"/>
      <c r="Z112" s="580"/>
      <c r="AA112" s="580"/>
      <c r="AB112" s="580"/>
      <c r="AC112" s="580"/>
      <c r="AD112" s="580"/>
      <c r="AE112" s="580"/>
    </row>
    <row r="113" spans="1:38" s="723" customFormat="1" ht="12.75" customHeight="1">
      <c r="A113" s="1096">
        <f>+A109+1</f>
        <v>2</v>
      </c>
      <c r="B113" s="968" t="s">
        <v>328</v>
      </c>
      <c r="C113" s="988" t="s">
        <v>456</v>
      </c>
      <c r="D113" s="972" t="s">
        <v>164</v>
      </c>
      <c r="E113" s="974">
        <v>2</v>
      </c>
      <c r="F113" s="1098"/>
      <c r="G113" s="1099"/>
      <c r="H113" s="1100"/>
      <c r="I113" s="1101"/>
      <c r="J113" s="1102"/>
      <c r="K113" s="1103"/>
      <c r="L113" s="339"/>
      <c r="M113" s="697"/>
      <c r="N113" s="699"/>
      <c r="O113" s="699"/>
      <c r="P113" s="699"/>
      <c r="Q113" s="695"/>
      <c r="R113" s="757">
        <f>F114+I114</f>
        <v>0</v>
      </c>
      <c r="S113" s="979">
        <f>R113+R114</f>
        <v>57.625155000000014</v>
      </c>
      <c r="T113" s="979">
        <f>E113*S113</f>
        <v>115.25031000000003</v>
      </c>
      <c r="U113" s="1048">
        <f>R114*E113</f>
        <v>115.25031000000003</v>
      </c>
      <c r="V113" s="988" t="s">
        <v>456</v>
      </c>
      <c r="W113" s="972" t="s">
        <v>164</v>
      </c>
      <c r="X113" s="242"/>
      <c r="Y113" s="242"/>
      <c r="Z113" s="157"/>
      <c r="AA113" s="157"/>
      <c r="AB113" s="157"/>
      <c r="AC113" s="157"/>
      <c r="AD113" s="157"/>
      <c r="AE113" s="157"/>
    </row>
    <row r="114" spans="1:38" s="723" customFormat="1" ht="12.75" customHeight="1">
      <c r="A114" s="1097"/>
      <c r="B114" s="969"/>
      <c r="C114" s="989"/>
      <c r="D114" s="973"/>
      <c r="E114" s="975"/>
      <c r="F114" s="1104"/>
      <c r="G114" s="1105"/>
      <c r="H114" s="1106"/>
      <c r="I114" s="1107"/>
      <c r="J114" s="1108"/>
      <c r="K114" s="1109"/>
      <c r="L114" s="360" t="s">
        <v>442</v>
      </c>
      <c r="M114" s="246" t="s">
        <v>164</v>
      </c>
      <c r="N114" s="341">
        <v>1</v>
      </c>
      <c r="O114" s="250">
        <f>E113*N114</f>
        <v>2</v>
      </c>
      <c r="P114" s="341">
        <v>50</v>
      </c>
      <c r="Q114" s="248">
        <f>N114*P114*$N$11</f>
        <v>57.625155000000014</v>
      </c>
      <c r="R114" s="691">
        <f>SUM(Q114:Q114)</f>
        <v>57.625155000000014</v>
      </c>
      <c r="S114" s="980"/>
      <c r="T114" s="980"/>
      <c r="U114" s="1049"/>
      <c r="V114" s="989"/>
      <c r="W114" s="973"/>
      <c r="X114" s="242"/>
      <c r="Y114" s="242"/>
      <c r="Z114" s="157"/>
      <c r="AA114" s="157"/>
      <c r="AB114" s="157"/>
      <c r="AC114" s="157"/>
      <c r="AD114" s="157"/>
      <c r="AE114" s="157"/>
    </row>
    <row r="115" spans="1:38" s="586" customFormat="1" ht="18.75" customHeight="1">
      <c r="A115" s="1073">
        <f>+A113+1</f>
        <v>3</v>
      </c>
      <c r="B115" s="1076" t="s">
        <v>443</v>
      </c>
      <c r="C115" s="1079" t="s">
        <v>444</v>
      </c>
      <c r="D115" s="1082" t="s">
        <v>326</v>
      </c>
      <c r="E115" s="1085">
        <f>17.9/1000*2</f>
        <v>3.5799999999999998E-2</v>
      </c>
      <c r="F115" s="1088">
        <v>13.8</v>
      </c>
      <c r="G115" s="1089"/>
      <c r="H115" s="1090"/>
      <c r="I115" s="1091">
        <v>32.1</v>
      </c>
      <c r="J115" s="1092"/>
      <c r="K115" s="1093"/>
      <c r="L115" s="342"/>
      <c r="M115" s="697"/>
      <c r="N115" s="469"/>
      <c r="O115" s="699"/>
      <c r="P115" s="699"/>
      <c r="Q115" s="695"/>
      <c r="R115" s="758">
        <f>F116+I116</f>
        <v>135.70280100000002</v>
      </c>
      <c r="S115" s="1110">
        <f>R115+R116</f>
        <v>675.63644281218001</v>
      </c>
      <c r="T115" s="1110">
        <f>E115*S115</f>
        <v>24.187784652676044</v>
      </c>
      <c r="U115" s="1113">
        <f>R116*E115</f>
        <v>19.329624376876044</v>
      </c>
      <c r="V115" s="1079" t="s">
        <v>444</v>
      </c>
      <c r="W115" s="1082" t="s">
        <v>326</v>
      </c>
      <c r="X115" s="724"/>
      <c r="Y115" s="725"/>
      <c r="Z115" s="725"/>
      <c r="AA115" s="725"/>
      <c r="AB115" s="725"/>
      <c r="AC115" s="725"/>
      <c r="AD115" s="725"/>
      <c r="AE115" s="725"/>
      <c r="AF115" s="725"/>
      <c r="AG115" s="725"/>
      <c r="AH115" s="725"/>
      <c r="AI115" s="725"/>
      <c r="AJ115" s="725"/>
      <c r="AK115" s="725"/>
    </row>
    <row r="116" spans="1:38" s="586" customFormat="1" ht="22.5">
      <c r="A116" s="1074"/>
      <c r="B116" s="1077"/>
      <c r="C116" s="1080"/>
      <c r="D116" s="1083"/>
      <c r="E116" s="1086"/>
      <c r="F116" s="1116">
        <f>F115*J$13/1000</f>
        <v>32.250600000000006</v>
      </c>
      <c r="G116" s="1117"/>
      <c r="H116" s="1118"/>
      <c r="I116" s="1116">
        <f>I115*$Q$13/1000</f>
        <v>103.452201</v>
      </c>
      <c r="J116" s="1117"/>
      <c r="K116" s="1118"/>
      <c r="L116" s="345" t="s">
        <v>445</v>
      </c>
      <c r="M116" s="253" t="s">
        <v>326</v>
      </c>
      <c r="N116" s="268">
        <v>1</v>
      </c>
      <c r="O116" s="343">
        <f>E115*N116</f>
        <v>3.5799999999999998E-2</v>
      </c>
      <c r="P116" s="344">
        <v>450</v>
      </c>
      <c r="Q116" s="236">
        <f>N116*P116*$N$11</f>
        <v>518.62639500000012</v>
      </c>
      <c r="R116" s="1110">
        <f>SUM(Q116:Q119)</f>
        <v>539.93364181217999</v>
      </c>
      <c r="S116" s="1111"/>
      <c r="T116" s="1111"/>
      <c r="U116" s="1114"/>
      <c r="V116" s="1080"/>
      <c r="W116" s="1083"/>
      <c r="X116" s="724"/>
      <c r="Y116" s="725"/>
      <c r="Z116" s="725"/>
      <c r="AA116" s="725"/>
      <c r="AB116" s="725"/>
      <c r="AC116" s="725"/>
      <c r="AD116" s="725"/>
      <c r="AE116" s="725"/>
      <c r="AF116" s="725"/>
      <c r="AG116" s="725"/>
      <c r="AH116" s="725"/>
      <c r="AI116" s="725"/>
      <c r="AJ116" s="725"/>
      <c r="AK116" s="725"/>
    </row>
    <row r="117" spans="1:38" s="586" customFormat="1" ht="12.75" customHeight="1">
      <c r="A117" s="1074"/>
      <c r="B117" s="1077"/>
      <c r="C117" s="1080"/>
      <c r="D117" s="1083"/>
      <c r="E117" s="1086"/>
      <c r="F117" s="1119"/>
      <c r="G117" s="1120"/>
      <c r="H117" s="1121"/>
      <c r="I117" s="1119"/>
      <c r="J117" s="1120"/>
      <c r="K117" s="1121"/>
      <c r="L117" s="759" t="s">
        <v>446</v>
      </c>
      <c r="M117" s="263" t="s">
        <v>124</v>
      </c>
      <c r="N117" s="410">
        <v>1</v>
      </c>
      <c r="O117" s="264">
        <f>E115*N117</f>
        <v>3.5799999999999998E-2</v>
      </c>
      <c r="P117" s="240">
        <v>0.45</v>
      </c>
      <c r="Q117" s="265">
        <f>N117*P117*$N$11</f>
        <v>0.51862639500000018</v>
      </c>
      <c r="R117" s="1111"/>
      <c r="S117" s="1111"/>
      <c r="T117" s="1111"/>
      <c r="U117" s="1114"/>
      <c r="V117" s="1080"/>
      <c r="W117" s="1083"/>
      <c r="X117" s="724"/>
      <c r="Y117" s="725"/>
      <c r="Z117" s="725"/>
      <c r="AA117" s="725"/>
      <c r="AB117" s="725"/>
      <c r="AC117" s="725"/>
      <c r="AD117" s="725"/>
      <c r="AE117" s="725"/>
      <c r="AF117" s="725"/>
      <c r="AG117" s="725"/>
      <c r="AH117" s="725"/>
      <c r="AI117" s="725"/>
      <c r="AJ117" s="725"/>
      <c r="AK117" s="725"/>
    </row>
    <row r="118" spans="1:38" s="586" customFormat="1" ht="12.75" customHeight="1">
      <c r="A118" s="1074"/>
      <c r="B118" s="1077"/>
      <c r="C118" s="1080"/>
      <c r="D118" s="1083"/>
      <c r="E118" s="1086"/>
      <c r="F118" s="1119"/>
      <c r="G118" s="1120"/>
      <c r="H118" s="1121"/>
      <c r="I118" s="1119"/>
      <c r="J118" s="1120"/>
      <c r="K118" s="1121"/>
      <c r="L118" s="760" t="s">
        <v>447</v>
      </c>
      <c r="M118" s="761" t="s">
        <v>124</v>
      </c>
      <c r="N118" s="762">
        <v>13.4</v>
      </c>
      <c r="O118" s="763">
        <f>E115*N118</f>
        <v>0.47971999999999998</v>
      </c>
      <c r="P118" s="764">
        <v>1.167</v>
      </c>
      <c r="Q118" s="765">
        <f>N118*P118*$N$11</f>
        <v>18.022612977180007</v>
      </c>
      <c r="R118" s="1111"/>
      <c r="S118" s="1111"/>
      <c r="T118" s="1111"/>
      <c r="U118" s="1114"/>
      <c r="V118" s="1080"/>
      <c r="W118" s="1083"/>
      <c r="X118" s="724"/>
      <c r="Y118" s="725"/>
      <c r="Z118" s="725"/>
      <c r="AA118" s="725"/>
      <c r="AB118" s="725"/>
      <c r="AC118" s="725"/>
      <c r="AD118" s="725"/>
      <c r="AE118" s="725"/>
      <c r="AF118" s="725"/>
      <c r="AG118" s="725"/>
      <c r="AH118" s="725"/>
      <c r="AI118" s="725"/>
      <c r="AJ118" s="725"/>
      <c r="AK118" s="725"/>
    </row>
    <row r="119" spans="1:38" s="586" customFormat="1" ht="12.75" customHeight="1">
      <c r="A119" s="1075"/>
      <c r="B119" s="1078"/>
      <c r="C119" s="1081"/>
      <c r="D119" s="1084"/>
      <c r="E119" s="1087"/>
      <c r="F119" s="1122"/>
      <c r="G119" s="1123"/>
      <c r="H119" s="1124"/>
      <c r="I119" s="1122"/>
      <c r="J119" s="1123"/>
      <c r="K119" s="1124"/>
      <c r="L119" s="346" t="s">
        <v>190</v>
      </c>
      <c r="M119" s="460" t="s">
        <v>124</v>
      </c>
      <c r="N119" s="470">
        <v>2.4</v>
      </c>
      <c r="O119" s="259">
        <f>E115*N119</f>
        <v>8.5919999999999996E-2</v>
      </c>
      <c r="P119" s="766">
        <v>1</v>
      </c>
      <c r="Q119" s="261">
        <f>N119*P119*$N$11</f>
        <v>2.7660074400000005</v>
      </c>
      <c r="R119" s="1112"/>
      <c r="S119" s="1112"/>
      <c r="T119" s="1112"/>
      <c r="U119" s="1115"/>
      <c r="V119" s="1081"/>
      <c r="W119" s="1084"/>
      <c r="X119" s="724"/>
      <c r="Y119" s="725"/>
      <c r="Z119" s="725"/>
      <c r="AA119" s="725"/>
      <c r="AB119" s="725"/>
      <c r="AC119" s="725"/>
      <c r="AD119" s="725"/>
      <c r="AE119" s="725"/>
      <c r="AF119" s="725"/>
      <c r="AG119" s="725"/>
      <c r="AH119" s="725"/>
      <c r="AI119" s="725"/>
      <c r="AJ119" s="725"/>
      <c r="AK119" s="725"/>
    </row>
    <row r="120" spans="1:38" s="157" customFormat="1" ht="12" customHeight="1">
      <c r="A120" s="1058">
        <f>+A115+1</f>
        <v>4</v>
      </c>
      <c r="B120" s="968" t="s">
        <v>448</v>
      </c>
      <c r="C120" s="988" t="s">
        <v>449</v>
      </c>
      <c r="D120" s="972" t="s">
        <v>326</v>
      </c>
      <c r="E120" s="1141">
        <f>0.011*2</f>
        <v>2.1999999999999999E-2</v>
      </c>
      <c r="F120" s="976">
        <v>19.399999999999999</v>
      </c>
      <c r="G120" s="977"/>
      <c r="H120" s="978"/>
      <c r="I120" s="976">
        <v>4</v>
      </c>
      <c r="J120" s="977"/>
      <c r="K120" s="978"/>
      <c r="L120" s="342"/>
      <c r="M120" s="697"/>
      <c r="N120" s="699"/>
      <c r="O120" s="694"/>
      <c r="P120" s="699"/>
      <c r="Q120" s="695"/>
      <c r="R120" s="696">
        <f>F121+I121</f>
        <v>58.229039999999998</v>
      </c>
      <c r="S120" s="979">
        <f>R120+R121</f>
        <v>599.9054970000002</v>
      </c>
      <c r="T120" s="1094">
        <f>E120*S120</f>
        <v>13.197920934000004</v>
      </c>
      <c r="U120" s="1144">
        <f>R121*E120</f>
        <v>11.916882054000002</v>
      </c>
      <c r="V120" s="988" t="s">
        <v>449</v>
      </c>
      <c r="W120" s="972" t="s">
        <v>326</v>
      </c>
      <c r="X120" s="581"/>
      <c r="Y120" s="242"/>
    </row>
    <row r="121" spans="1:38" s="157" customFormat="1" ht="13.5" customHeight="1">
      <c r="A121" s="1059"/>
      <c r="B121" s="995"/>
      <c r="C121" s="1020"/>
      <c r="D121" s="997"/>
      <c r="E121" s="1142"/>
      <c r="F121" s="1017">
        <f>F120*J$13/1000</f>
        <v>45.337799999999994</v>
      </c>
      <c r="G121" s="1072"/>
      <c r="H121" s="1016"/>
      <c r="I121" s="1017">
        <f>I120*$Q$13/1000</f>
        <v>12.89124</v>
      </c>
      <c r="J121" s="1072"/>
      <c r="K121" s="1016"/>
      <c r="L121" s="767" t="s">
        <v>446</v>
      </c>
      <c r="M121" s="253" t="s">
        <v>326</v>
      </c>
      <c r="N121" s="768">
        <v>1</v>
      </c>
      <c r="O121" s="268">
        <f>E120*N121</f>
        <v>2.1999999999999999E-2</v>
      </c>
      <c r="P121" s="253">
        <v>450</v>
      </c>
      <c r="Q121" s="236">
        <f>N121*P121*$N$11</f>
        <v>518.62639500000012</v>
      </c>
      <c r="R121" s="979">
        <f>SUM(Q121:Q122)</f>
        <v>541.67645700000014</v>
      </c>
      <c r="S121" s="1002"/>
      <c r="T121" s="1094"/>
      <c r="U121" s="1144"/>
      <c r="V121" s="1020"/>
      <c r="W121" s="997"/>
      <c r="X121" s="581"/>
      <c r="Y121" s="242"/>
    </row>
    <row r="122" spans="1:38" s="586" customFormat="1" ht="12.75" customHeight="1">
      <c r="A122" s="1060"/>
      <c r="B122" s="969"/>
      <c r="C122" s="989"/>
      <c r="D122" s="973"/>
      <c r="E122" s="1143"/>
      <c r="F122" s="985"/>
      <c r="G122" s="986"/>
      <c r="H122" s="987"/>
      <c r="I122" s="985"/>
      <c r="J122" s="986"/>
      <c r="K122" s="987"/>
      <c r="L122" s="769" t="s">
        <v>190</v>
      </c>
      <c r="M122" s="770" t="s">
        <v>124</v>
      </c>
      <c r="N122" s="771">
        <v>20</v>
      </c>
      <c r="O122" s="772">
        <f>E120*N122</f>
        <v>0.43999999999999995</v>
      </c>
      <c r="P122" s="773">
        <v>1</v>
      </c>
      <c r="Q122" s="774">
        <f>N122*P122*$N$11</f>
        <v>23.050062000000008</v>
      </c>
      <c r="R122" s="980"/>
      <c r="S122" s="980"/>
      <c r="T122" s="1094"/>
      <c r="U122" s="1144"/>
      <c r="V122" s="989"/>
      <c r="W122" s="973"/>
      <c r="X122" s="724"/>
      <c r="Y122" s="725"/>
      <c r="Z122" s="725"/>
      <c r="AA122" s="725"/>
      <c r="AB122" s="725"/>
      <c r="AC122" s="725"/>
      <c r="AD122" s="725"/>
      <c r="AE122" s="725"/>
      <c r="AF122" s="725"/>
      <c r="AG122" s="725"/>
      <c r="AH122" s="725"/>
      <c r="AI122" s="725"/>
      <c r="AJ122" s="725"/>
      <c r="AK122" s="725"/>
    </row>
    <row r="123" spans="1:38" s="728" customFormat="1" ht="12.75" customHeight="1">
      <c r="A123" s="1135">
        <f>+A120+1</f>
        <v>5</v>
      </c>
      <c r="B123" s="1136" t="s">
        <v>450</v>
      </c>
      <c r="C123" s="1137" t="s">
        <v>451</v>
      </c>
      <c r="D123" s="972" t="s">
        <v>122</v>
      </c>
      <c r="E123" s="979">
        <v>12</v>
      </c>
      <c r="F123" s="999">
        <f>4.1/100</f>
        <v>4.0999999999999995E-2</v>
      </c>
      <c r="G123" s="1000"/>
      <c r="H123" s="1001"/>
      <c r="I123" s="999">
        <f>0.4/100</f>
        <v>4.0000000000000001E-3</v>
      </c>
      <c r="J123" s="1000"/>
      <c r="K123" s="1001"/>
      <c r="L123" s="269"/>
      <c r="M123" s="697"/>
      <c r="N123" s="571"/>
      <c r="O123" s="571"/>
      <c r="P123" s="571"/>
      <c r="Q123" s="572"/>
      <c r="R123" s="775">
        <f>F124+I124</f>
        <v>0.10870824</v>
      </c>
      <c r="S123" s="1138">
        <f>R123+R124</f>
        <v>0.20734543124000002</v>
      </c>
      <c r="T123" s="1138">
        <f>E123*S123</f>
        <v>2.4881451748800001</v>
      </c>
      <c r="U123" s="1145">
        <f>+R124*E123</f>
        <v>1.1836462948800002</v>
      </c>
      <c r="V123" s="1137" t="s">
        <v>451</v>
      </c>
      <c r="W123" s="972" t="s">
        <v>122</v>
      </c>
      <c r="X123" s="726"/>
      <c r="Y123" s="210"/>
      <c r="Z123" s="210"/>
      <c r="AA123" s="210"/>
      <c r="AB123" s="210"/>
      <c r="AC123" s="210"/>
      <c r="AD123" s="210"/>
      <c r="AE123" s="584"/>
      <c r="AF123" s="584"/>
      <c r="AG123" s="584"/>
      <c r="AH123" s="584"/>
      <c r="AI123" s="584"/>
      <c r="AJ123" s="584"/>
      <c r="AK123" s="584"/>
      <c r="AL123" s="727"/>
    </row>
    <row r="124" spans="1:38" s="728" customFormat="1" ht="12.75" customHeight="1">
      <c r="A124" s="1135"/>
      <c r="B124" s="1136"/>
      <c r="C124" s="1137"/>
      <c r="D124" s="997"/>
      <c r="E124" s="1002"/>
      <c r="F124" s="1017">
        <f>F123*J$13/1000</f>
        <v>9.5816999999999999E-2</v>
      </c>
      <c r="G124" s="1072"/>
      <c r="H124" s="1016"/>
      <c r="I124" s="1017">
        <f>I123*$Q$13/1000</f>
        <v>1.289124E-2</v>
      </c>
      <c r="J124" s="1072"/>
      <c r="K124" s="1016"/>
      <c r="L124" s="345" t="s">
        <v>128</v>
      </c>
      <c r="M124" s="253" t="s">
        <v>124</v>
      </c>
      <c r="N124" s="577">
        <v>0.03</v>
      </c>
      <c r="O124" s="578">
        <f>E123*N124</f>
        <v>0.36</v>
      </c>
      <c r="P124" s="344">
        <f>0.542*2</f>
        <v>1.0840000000000001</v>
      </c>
      <c r="Q124" s="579">
        <f>N124*P124*$N$11</f>
        <v>3.7479400812000012E-2</v>
      </c>
      <c r="R124" s="1138">
        <f>SUM(Q124:Q125)</f>
        <v>9.8637191240000019E-2</v>
      </c>
      <c r="S124" s="1139"/>
      <c r="T124" s="1139"/>
      <c r="U124" s="1146"/>
      <c r="V124" s="1137"/>
      <c r="W124" s="997"/>
      <c r="X124" s="726"/>
      <c r="Y124" s="210"/>
      <c r="Z124" s="210"/>
      <c r="AA124" s="210"/>
      <c r="AB124" s="210"/>
      <c r="AC124" s="210"/>
      <c r="AD124" s="210"/>
      <c r="AE124" s="584"/>
      <c r="AF124" s="584"/>
      <c r="AG124" s="584"/>
      <c r="AH124" s="584"/>
      <c r="AI124" s="584"/>
      <c r="AJ124" s="584"/>
      <c r="AK124" s="584"/>
      <c r="AL124" s="727"/>
    </row>
    <row r="125" spans="1:38" s="728" customFormat="1" ht="12.75" customHeight="1">
      <c r="A125" s="1135"/>
      <c r="B125" s="1136"/>
      <c r="C125" s="1137"/>
      <c r="D125" s="973"/>
      <c r="E125" s="980"/>
      <c r="F125" s="985"/>
      <c r="G125" s="986"/>
      <c r="H125" s="987"/>
      <c r="I125" s="985"/>
      <c r="J125" s="986"/>
      <c r="K125" s="987"/>
      <c r="L125" s="346" t="s">
        <v>452</v>
      </c>
      <c r="M125" s="257" t="s">
        <v>124</v>
      </c>
      <c r="N125" s="573">
        <f>17.2/100</f>
        <v>0.17199999999999999</v>
      </c>
      <c r="O125" s="574">
        <f>E123*N125</f>
        <v>2.0640000000000001</v>
      </c>
      <c r="P125" s="358">
        <f>0.833/2.7</f>
        <v>0.30851851851851847</v>
      </c>
      <c r="Q125" s="575">
        <f>N125*P125*$N$11</f>
        <v>6.1157790428000007E-2</v>
      </c>
      <c r="R125" s="1140"/>
      <c r="S125" s="1140"/>
      <c r="T125" s="1140"/>
      <c r="U125" s="1147"/>
      <c r="V125" s="1137"/>
      <c r="W125" s="973"/>
      <c r="X125" s="726"/>
      <c r="Y125" s="210"/>
      <c r="Z125" s="210"/>
      <c r="AA125" s="210"/>
      <c r="AB125" s="210"/>
      <c r="AC125" s="210"/>
      <c r="AD125" s="210"/>
      <c r="AE125" s="584"/>
      <c r="AF125" s="584"/>
      <c r="AG125" s="584"/>
      <c r="AH125" s="584"/>
      <c r="AI125" s="584"/>
      <c r="AJ125" s="584"/>
      <c r="AK125" s="584"/>
      <c r="AL125" s="727"/>
    </row>
    <row r="126" spans="1:38" s="570" customFormat="1" ht="12.75" customHeight="1">
      <c r="A126" s="1125">
        <f>+A123+1</f>
        <v>6</v>
      </c>
      <c r="B126" s="1076" t="s">
        <v>453</v>
      </c>
      <c r="C126" s="1079" t="s">
        <v>454</v>
      </c>
      <c r="D126" s="1128" t="s">
        <v>122</v>
      </c>
      <c r="E126" s="1131">
        <f>+E123</f>
        <v>12</v>
      </c>
      <c r="F126" s="1134">
        <v>0.38400000000000001</v>
      </c>
      <c r="G126" s="1134"/>
      <c r="H126" s="1134"/>
      <c r="I126" s="1148">
        <f>0.03/100</f>
        <v>2.9999999999999997E-4</v>
      </c>
      <c r="J126" s="1149"/>
      <c r="K126" s="1150"/>
      <c r="L126" s="342"/>
      <c r="M126" s="697"/>
      <c r="N126" s="469"/>
      <c r="O126" s="699"/>
      <c r="P126" s="699"/>
      <c r="Q126" s="695"/>
      <c r="R126" s="693">
        <f>F127+I127</f>
        <v>0.89837484300000003</v>
      </c>
      <c r="S126" s="1070">
        <f>R126+R127</f>
        <v>1.2775702604589001</v>
      </c>
      <c r="T126" s="1070">
        <f>E126*S126</f>
        <v>15.330843125506801</v>
      </c>
      <c r="U126" s="1095">
        <f>R127*E126</f>
        <v>4.5503450095068017</v>
      </c>
      <c r="V126" s="1079" t="s">
        <v>454</v>
      </c>
      <c r="W126" s="1128" t="s">
        <v>122</v>
      </c>
      <c r="X126" s="726"/>
      <c r="Y126" s="210"/>
      <c r="Z126" s="210"/>
      <c r="AA126" s="210"/>
      <c r="AB126" s="210"/>
      <c r="AC126" s="210"/>
      <c r="AD126" s="210"/>
      <c r="AE126" s="584"/>
      <c r="AF126" s="584"/>
      <c r="AG126" s="584"/>
      <c r="AH126" s="584"/>
      <c r="AI126" s="584"/>
      <c r="AJ126" s="584"/>
      <c r="AK126" s="584"/>
    </row>
    <row r="127" spans="1:38" s="570" customFormat="1" ht="12.75" customHeight="1">
      <c r="A127" s="1126"/>
      <c r="B127" s="1077"/>
      <c r="C127" s="1080"/>
      <c r="D127" s="1129"/>
      <c r="E127" s="1132"/>
      <c r="F127" s="1134">
        <f>F126*J$13/1000</f>
        <v>0.89740799999999998</v>
      </c>
      <c r="G127" s="1134"/>
      <c r="H127" s="1134"/>
      <c r="I127" s="1134">
        <f>I126*$Q$13/1000</f>
        <v>9.6684299999999989E-4</v>
      </c>
      <c r="J127" s="1134"/>
      <c r="K127" s="1134"/>
      <c r="L127" s="345" t="s">
        <v>130</v>
      </c>
      <c r="M127" s="253" t="s">
        <v>124</v>
      </c>
      <c r="N127" s="268">
        <v>0.246</v>
      </c>
      <c r="O127" s="343">
        <f>E126*N127</f>
        <v>2.952</v>
      </c>
      <c r="P127" s="243">
        <v>1.25</v>
      </c>
      <c r="Q127" s="236">
        <f>N127*P127*$N$11</f>
        <v>0.35439470325000011</v>
      </c>
      <c r="R127" s="1070">
        <f>SUM(Q127:Q128)</f>
        <v>0.37919541745890012</v>
      </c>
      <c r="S127" s="1070"/>
      <c r="T127" s="1070"/>
      <c r="U127" s="1095"/>
      <c r="V127" s="1080"/>
      <c r="W127" s="1129"/>
      <c r="X127" s="726"/>
      <c r="Y127" s="210"/>
      <c r="Z127" s="210"/>
      <c r="AA127" s="210"/>
      <c r="AB127" s="210"/>
      <c r="AC127" s="210"/>
      <c r="AD127" s="210"/>
      <c r="AE127" s="584"/>
      <c r="AF127" s="584"/>
      <c r="AG127" s="584"/>
      <c r="AH127" s="584"/>
      <c r="AI127" s="584"/>
      <c r="AJ127" s="584"/>
      <c r="AK127" s="584"/>
    </row>
    <row r="128" spans="1:38" s="570" customFormat="1" ht="12.75" customHeight="1">
      <c r="A128" s="1127"/>
      <c r="B128" s="1078"/>
      <c r="C128" s="1081"/>
      <c r="D128" s="1130"/>
      <c r="E128" s="1133"/>
      <c r="F128" s="1134"/>
      <c r="G128" s="1134"/>
      <c r="H128" s="1134"/>
      <c r="I128" s="1134"/>
      <c r="J128" s="1134"/>
      <c r="K128" s="1134"/>
      <c r="L128" s="346" t="s">
        <v>329</v>
      </c>
      <c r="M128" s="460" t="s">
        <v>124</v>
      </c>
      <c r="N128" s="470">
        <v>2.7E-2</v>
      </c>
      <c r="O128" s="259">
        <f>E126*N128</f>
        <v>0.32400000000000001</v>
      </c>
      <c r="P128" s="766">
        <v>0.79700000000000004</v>
      </c>
      <c r="Q128" s="261">
        <f>N128*P128*$N$11</f>
        <v>2.4800714208900006E-2</v>
      </c>
      <c r="R128" s="1070"/>
      <c r="S128" s="1070"/>
      <c r="T128" s="1070"/>
      <c r="U128" s="1095"/>
      <c r="V128" s="1081"/>
      <c r="W128" s="1130"/>
      <c r="X128" s="726"/>
      <c r="Y128" s="210"/>
      <c r="Z128" s="210"/>
      <c r="AA128" s="210"/>
      <c r="AB128" s="210"/>
      <c r="AC128" s="210"/>
      <c r="AD128" s="210"/>
      <c r="AE128" s="584"/>
      <c r="AF128" s="584"/>
      <c r="AG128" s="584"/>
      <c r="AH128" s="584"/>
      <c r="AI128" s="584"/>
      <c r="AJ128" s="584"/>
      <c r="AK128" s="584"/>
    </row>
    <row r="129" spans="1:50" s="156" customFormat="1" ht="12.75" customHeight="1">
      <c r="A129" s="655"/>
      <c r="B129" s="375"/>
      <c r="C129" s="376" t="s">
        <v>117</v>
      </c>
      <c r="D129" s="377"/>
      <c r="E129" s="378"/>
      <c r="F129" s="383"/>
      <c r="G129" s="384"/>
      <c r="H129" s="383"/>
      <c r="I129" s="383"/>
      <c r="J129" s="384"/>
      <c r="K129" s="383"/>
      <c r="L129" s="609"/>
      <c r="M129" s="382"/>
      <c r="N129" s="383"/>
      <c r="O129" s="384"/>
      <c r="P129" s="383"/>
      <c r="Q129" s="384"/>
      <c r="R129" s="384"/>
      <c r="S129" s="384"/>
      <c r="T129" s="386">
        <f>SUM(T21:T128)-$T$134</f>
        <v>17845.606104145398</v>
      </c>
      <c r="U129" s="386">
        <f>SUM(U21:U128)-$T$134</f>
        <v>8347.0878502374217</v>
      </c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59"/>
      <c r="AG129" s="159"/>
      <c r="AH129" s="159"/>
      <c r="AI129" s="159"/>
      <c r="AJ129" s="159"/>
      <c r="AK129" s="159"/>
      <c r="AL129" s="159"/>
      <c r="AM129" s="159"/>
      <c r="AN129" s="159"/>
      <c r="AO129" s="159"/>
      <c r="AP129" s="159"/>
      <c r="AQ129" s="159"/>
      <c r="AR129" s="159"/>
      <c r="AS129" s="159"/>
      <c r="AT129" s="159"/>
      <c r="AU129" s="159"/>
      <c r="AV129" s="159"/>
      <c r="AW129" s="159"/>
      <c r="AX129" s="159"/>
    </row>
    <row r="130" spans="1:50" s="156" customFormat="1" ht="12.75" customHeight="1">
      <c r="A130" s="656"/>
      <c r="B130" s="211"/>
      <c r="C130" s="212" t="s">
        <v>118</v>
      </c>
      <c r="D130" s="213">
        <v>0.13300000000000001</v>
      </c>
      <c r="E130" s="214"/>
      <c r="F130" s="216"/>
      <c r="G130" s="217"/>
      <c r="H130" s="216"/>
      <c r="I130" s="216"/>
      <c r="J130" s="217"/>
      <c r="K130" s="216"/>
      <c r="L130" s="610"/>
      <c r="M130" s="215"/>
      <c r="N130" s="216"/>
      <c r="O130" s="217"/>
      <c r="P130" s="216"/>
      <c r="Q130" s="217"/>
      <c r="R130" s="217"/>
      <c r="S130" s="217"/>
      <c r="T130" s="218">
        <f>D130*T129</f>
        <v>2373.4656118513381</v>
      </c>
      <c r="U130" s="630">
        <f>+U129*D130</f>
        <v>1110.1626840815773</v>
      </c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/>
      <c r="AQ130" s="159"/>
      <c r="AR130" s="159"/>
      <c r="AS130" s="159"/>
      <c r="AT130" s="159"/>
      <c r="AU130" s="159"/>
      <c r="AV130" s="159"/>
      <c r="AW130" s="159"/>
      <c r="AX130" s="159"/>
    </row>
    <row r="131" spans="1:50" s="158" customFormat="1" ht="12.75" customHeight="1">
      <c r="A131" s="656"/>
      <c r="B131" s="211"/>
      <c r="C131" s="212" t="s">
        <v>117</v>
      </c>
      <c r="D131" s="213"/>
      <c r="E131" s="214"/>
      <c r="F131" s="216"/>
      <c r="G131" s="217"/>
      <c r="H131" s="216"/>
      <c r="I131" s="216"/>
      <c r="J131" s="217"/>
      <c r="K131" s="216"/>
      <c r="L131" s="610"/>
      <c r="M131" s="215"/>
      <c r="N131" s="216"/>
      <c r="O131" s="217"/>
      <c r="P131" s="216"/>
      <c r="Q131" s="217"/>
      <c r="R131" s="217"/>
      <c r="S131" s="217"/>
      <c r="T131" s="218">
        <f>SUM(T129:T130)</f>
        <v>20219.071715996735</v>
      </c>
      <c r="U131" s="630">
        <f>SUM(U129:U130)</f>
        <v>9457.2505343189987</v>
      </c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R131" s="159"/>
      <c r="AS131" s="159"/>
      <c r="AT131" s="159"/>
      <c r="AU131" s="159"/>
      <c r="AV131" s="159"/>
      <c r="AW131" s="159"/>
      <c r="AX131" s="159"/>
    </row>
    <row r="132" spans="1:50" s="158" customFormat="1" ht="12.75" customHeight="1">
      <c r="A132" s="656"/>
      <c r="B132" s="211"/>
      <c r="C132" s="212" t="s">
        <v>119</v>
      </c>
      <c r="D132" s="219">
        <v>0.11</v>
      </c>
      <c r="E132" s="214"/>
      <c r="F132" s="216"/>
      <c r="G132" s="217"/>
      <c r="H132" s="216"/>
      <c r="I132" s="216"/>
      <c r="J132" s="217"/>
      <c r="K132" s="216"/>
      <c r="L132" s="610"/>
      <c r="M132" s="215"/>
      <c r="N132" s="216"/>
      <c r="O132" s="217"/>
      <c r="P132" s="216"/>
      <c r="Q132" s="217"/>
      <c r="R132" s="217"/>
      <c r="S132" s="217"/>
      <c r="T132" s="218">
        <f>D132*T131</f>
        <v>2224.0978887596407</v>
      </c>
      <c r="U132" s="630">
        <f>+U131*D132</f>
        <v>1040.2975587750898</v>
      </c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159"/>
      <c r="AS132" s="159"/>
      <c r="AT132" s="159"/>
      <c r="AU132" s="159"/>
      <c r="AV132" s="159"/>
      <c r="AW132" s="159"/>
      <c r="AX132" s="159"/>
    </row>
    <row r="133" spans="1:50" s="158" customFormat="1" ht="12.75" customHeight="1">
      <c r="A133" s="656"/>
      <c r="B133" s="211"/>
      <c r="C133" s="212" t="s">
        <v>117</v>
      </c>
      <c r="D133" s="220"/>
      <c r="E133" s="214"/>
      <c r="F133" s="216"/>
      <c r="G133" s="217"/>
      <c r="H133" s="216"/>
      <c r="I133" s="216"/>
      <c r="J133" s="217"/>
      <c r="K133" s="216"/>
      <c r="L133" s="610"/>
      <c r="M133" s="215"/>
      <c r="N133" s="216"/>
      <c r="O133" s="217"/>
      <c r="P133" s="216"/>
      <c r="Q133" s="217"/>
      <c r="R133" s="217"/>
      <c r="S133" s="217"/>
      <c r="T133" s="218">
        <f>T131+T132</f>
        <v>22443.169604756375</v>
      </c>
      <c r="U133" s="630">
        <f>U131+U132</f>
        <v>10497.548093094088</v>
      </c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  <c r="AQ133" s="159"/>
      <c r="AR133" s="159"/>
      <c r="AS133" s="159"/>
      <c r="AT133" s="159"/>
      <c r="AU133" s="159"/>
      <c r="AV133" s="159"/>
      <c r="AW133" s="159"/>
      <c r="AX133" s="159"/>
    </row>
    <row r="134" spans="1:50" s="158" customFormat="1" ht="12.75" customHeight="1">
      <c r="A134" s="656"/>
      <c r="B134" s="211"/>
      <c r="C134" s="212" t="s">
        <v>120</v>
      </c>
      <c r="D134" s="220"/>
      <c r="E134" s="214"/>
      <c r="F134" s="216"/>
      <c r="G134" s="217"/>
      <c r="H134" s="216"/>
      <c r="I134" s="216"/>
      <c r="J134" s="217"/>
      <c r="K134" s="216"/>
      <c r="L134" s="610"/>
      <c r="M134" s="215"/>
      <c r="N134" s="216"/>
      <c r="O134" s="217"/>
      <c r="P134" s="216"/>
      <c r="Q134" s="217"/>
      <c r="R134" s="217"/>
      <c r="S134" s="217"/>
      <c r="T134" s="218"/>
      <c r="U134" s="630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59"/>
      <c r="AQ134" s="159"/>
      <c r="AR134" s="159"/>
      <c r="AS134" s="159"/>
      <c r="AT134" s="159"/>
      <c r="AU134" s="159"/>
      <c r="AV134" s="159"/>
      <c r="AW134" s="159"/>
      <c r="AX134" s="159"/>
    </row>
    <row r="135" spans="1:50" s="158" customFormat="1" ht="12.75" customHeight="1" thickBot="1">
      <c r="A135" s="656"/>
      <c r="B135" s="211"/>
      <c r="C135" s="212" t="s">
        <v>117</v>
      </c>
      <c r="D135" s="220"/>
      <c r="E135" s="214"/>
      <c r="F135" s="216"/>
      <c r="G135" s="217"/>
      <c r="H135" s="216"/>
      <c r="I135" s="216"/>
      <c r="J135" s="217"/>
      <c r="K135" s="216"/>
      <c r="L135" s="610"/>
      <c r="M135" s="215"/>
      <c r="N135" s="216"/>
      <c r="O135" s="217"/>
      <c r="P135" s="216"/>
      <c r="Q135" s="217"/>
      <c r="R135" s="217"/>
      <c r="S135" s="217"/>
      <c r="T135" s="218">
        <f>+T134+T133</f>
        <v>22443.169604756375</v>
      </c>
      <c r="U135" s="630">
        <f>+U133</f>
        <v>10497.548093094088</v>
      </c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59"/>
      <c r="AS135" s="159"/>
      <c r="AT135" s="159"/>
      <c r="AU135" s="159"/>
      <c r="AV135" s="159"/>
      <c r="AW135" s="159"/>
      <c r="AX135" s="159"/>
    </row>
    <row r="136" spans="1:50" s="158" customFormat="1" ht="13.5" customHeight="1" thickTop="1" thickBot="1">
      <c r="A136" s="657"/>
      <c r="B136" s="221"/>
      <c r="C136" s="222" t="s">
        <v>121</v>
      </c>
      <c r="D136" s="624"/>
      <c r="E136" s="625"/>
      <c r="F136" s="223"/>
      <c r="G136" s="224"/>
      <c r="H136" s="223"/>
      <c r="I136" s="223"/>
      <c r="J136" s="224"/>
      <c r="K136" s="223"/>
      <c r="L136" s="611"/>
      <c r="M136" s="631"/>
      <c r="N136" s="237"/>
      <c r="O136" s="632"/>
      <c r="P136" s="237"/>
      <c r="Q136" s="632"/>
      <c r="R136" s="632"/>
      <c r="S136" s="632"/>
      <c r="T136" s="241">
        <f>+T135</f>
        <v>22443.169604756375</v>
      </c>
      <c r="U136" s="633">
        <f>+U135</f>
        <v>10497.548093094088</v>
      </c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159"/>
      <c r="AS136" s="159"/>
      <c r="AT136" s="159"/>
      <c r="AU136" s="159"/>
      <c r="AV136" s="159"/>
      <c r="AW136" s="159"/>
      <c r="AX136" s="159"/>
    </row>
    <row r="137" spans="1:50" s="158" customFormat="1" ht="7.5" customHeight="1" thickTop="1">
      <c r="A137" s="658"/>
      <c r="B137" s="161"/>
      <c r="C137" s="162"/>
      <c r="D137" s="163"/>
      <c r="E137" s="164"/>
      <c r="F137" s="166"/>
      <c r="G137" s="164"/>
      <c r="H137" s="166"/>
      <c r="I137" s="166"/>
      <c r="J137" s="164"/>
      <c r="K137" s="166"/>
      <c r="L137" s="612"/>
      <c r="M137" s="165"/>
      <c r="N137" s="166"/>
      <c r="O137" s="164"/>
      <c r="P137" s="166"/>
      <c r="Q137" s="164"/>
      <c r="R137" s="164"/>
      <c r="S137" s="164"/>
      <c r="T137" s="164"/>
      <c r="U137" s="164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59"/>
      <c r="AQ137" s="159"/>
      <c r="AR137" s="159"/>
      <c r="AS137" s="159"/>
      <c r="AT137" s="159"/>
      <c r="AU137" s="159"/>
      <c r="AV137" s="159"/>
      <c r="AW137" s="159"/>
      <c r="AX137" s="159"/>
    </row>
    <row r="138" spans="1:50" s="158" customFormat="1" ht="16.5" customHeight="1">
      <c r="A138" s="961" t="s">
        <v>146</v>
      </c>
      <c r="B138" s="961"/>
      <c r="C138" s="961"/>
      <c r="D138" s="961"/>
      <c r="E138" s="961"/>
      <c r="F138" s="961"/>
      <c r="G138" s="961"/>
      <c r="H138" s="961"/>
      <c r="I138" s="961"/>
      <c r="J138" s="961"/>
      <c r="K138" s="961"/>
      <c r="L138" s="961"/>
      <c r="M138" s="961"/>
      <c r="N138" s="961"/>
      <c r="O138" s="961"/>
      <c r="P138" s="961"/>
      <c r="Q138" s="961"/>
      <c r="R138" s="961"/>
      <c r="S138" s="961"/>
      <c r="T138" s="961"/>
      <c r="U138" s="961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59"/>
      <c r="AM138" s="159"/>
      <c r="AN138" s="159"/>
      <c r="AO138" s="159"/>
      <c r="AP138" s="159"/>
      <c r="AQ138" s="159"/>
      <c r="AR138" s="159"/>
      <c r="AS138" s="159"/>
      <c r="AT138" s="159"/>
      <c r="AU138" s="159"/>
      <c r="AV138" s="159"/>
      <c r="AW138" s="159"/>
      <c r="AX138" s="159"/>
    </row>
  </sheetData>
  <mergeCells count="707">
    <mergeCell ref="V126:V128"/>
    <mergeCell ref="W126:W128"/>
    <mergeCell ref="C120:C122"/>
    <mergeCell ref="D120:D122"/>
    <mergeCell ref="E120:E122"/>
    <mergeCell ref="F120:H120"/>
    <mergeCell ref="I120:K120"/>
    <mergeCell ref="S120:S122"/>
    <mergeCell ref="T120:T122"/>
    <mergeCell ref="U120:U122"/>
    <mergeCell ref="F121:H122"/>
    <mergeCell ref="T123:T125"/>
    <mergeCell ref="U123:U125"/>
    <mergeCell ref="F126:H126"/>
    <mergeCell ref="I126:K126"/>
    <mergeCell ref="F123:H123"/>
    <mergeCell ref="I123:K123"/>
    <mergeCell ref="F124:H124"/>
    <mergeCell ref="I124:K124"/>
    <mergeCell ref="R124:R125"/>
    <mergeCell ref="F125:H125"/>
    <mergeCell ref="I125:K125"/>
    <mergeCell ref="V109:V112"/>
    <mergeCell ref="W109:W112"/>
    <mergeCell ref="V113:V114"/>
    <mergeCell ref="W113:W114"/>
    <mergeCell ref="V115:V119"/>
    <mergeCell ref="W115:W119"/>
    <mergeCell ref="V120:V122"/>
    <mergeCell ref="W120:W122"/>
    <mergeCell ref="V123:V125"/>
    <mergeCell ref="W123:W125"/>
    <mergeCell ref="S115:S119"/>
    <mergeCell ref="T115:T119"/>
    <mergeCell ref="U115:U119"/>
    <mergeCell ref="F116:H119"/>
    <mergeCell ref="I116:K119"/>
    <mergeCell ref="R116:R119"/>
    <mergeCell ref="A126:A128"/>
    <mergeCell ref="B126:B128"/>
    <mergeCell ref="C126:C128"/>
    <mergeCell ref="D126:D128"/>
    <mergeCell ref="E126:E128"/>
    <mergeCell ref="S126:S128"/>
    <mergeCell ref="T126:T128"/>
    <mergeCell ref="U126:U128"/>
    <mergeCell ref="F127:H128"/>
    <mergeCell ref="I127:K128"/>
    <mergeCell ref="R127:R128"/>
    <mergeCell ref="R121:R122"/>
    <mergeCell ref="A123:A125"/>
    <mergeCell ref="B123:B125"/>
    <mergeCell ref="C123:C125"/>
    <mergeCell ref="D123:D125"/>
    <mergeCell ref="E123:E125"/>
    <mergeCell ref="S123:S125"/>
    <mergeCell ref="S109:S112"/>
    <mergeCell ref="T109:T112"/>
    <mergeCell ref="U109:U112"/>
    <mergeCell ref="F110:H112"/>
    <mergeCell ref="I110:K112"/>
    <mergeCell ref="R110:R112"/>
    <mergeCell ref="A113:A114"/>
    <mergeCell ref="B113:B114"/>
    <mergeCell ref="C113:C114"/>
    <mergeCell ref="D113:D114"/>
    <mergeCell ref="E113:E114"/>
    <mergeCell ref="F113:H113"/>
    <mergeCell ref="I113:K113"/>
    <mergeCell ref="S113:S114"/>
    <mergeCell ref="T113:T114"/>
    <mergeCell ref="U113:U114"/>
    <mergeCell ref="F114:H114"/>
    <mergeCell ref="I114:K114"/>
    <mergeCell ref="F109:H109"/>
    <mergeCell ref="I109:K109"/>
    <mergeCell ref="I121:K122"/>
    <mergeCell ref="A115:A119"/>
    <mergeCell ref="B115:B119"/>
    <mergeCell ref="C115:C119"/>
    <mergeCell ref="D115:D119"/>
    <mergeCell ref="E115:E119"/>
    <mergeCell ref="F115:H115"/>
    <mergeCell ref="I115:K115"/>
    <mergeCell ref="A106:A107"/>
    <mergeCell ref="B106:B107"/>
    <mergeCell ref="C106:C107"/>
    <mergeCell ref="D106:D107"/>
    <mergeCell ref="E106:E107"/>
    <mergeCell ref="A120:A122"/>
    <mergeCell ref="B120:B122"/>
    <mergeCell ref="A109:A112"/>
    <mergeCell ref="B109:B112"/>
    <mergeCell ref="C109:C112"/>
    <mergeCell ref="D109:D112"/>
    <mergeCell ref="E109:E112"/>
    <mergeCell ref="S104:S105"/>
    <mergeCell ref="T104:T105"/>
    <mergeCell ref="U104:U105"/>
    <mergeCell ref="V104:V105"/>
    <mergeCell ref="W104:W105"/>
    <mergeCell ref="A104:A105"/>
    <mergeCell ref="B104:B105"/>
    <mergeCell ref="C104:C105"/>
    <mergeCell ref="D104:D105"/>
    <mergeCell ref="E104:E105"/>
    <mergeCell ref="U106:U107"/>
    <mergeCell ref="V106:V107"/>
    <mergeCell ref="W106:W107"/>
    <mergeCell ref="F107:H107"/>
    <mergeCell ref="I107:K107"/>
    <mergeCell ref="F106:H106"/>
    <mergeCell ref="I106:K106"/>
    <mergeCell ref="S106:S107"/>
    <mergeCell ref="T106:T107"/>
    <mergeCell ref="F105:H105"/>
    <mergeCell ref="I105:K105"/>
    <mergeCell ref="A100:A101"/>
    <mergeCell ref="B100:B101"/>
    <mergeCell ref="C100:C101"/>
    <mergeCell ref="D100:D101"/>
    <mergeCell ref="A102:A103"/>
    <mergeCell ref="B102:B103"/>
    <mergeCell ref="C102:C103"/>
    <mergeCell ref="D102:D103"/>
    <mergeCell ref="E102:E103"/>
    <mergeCell ref="E100:E101"/>
    <mergeCell ref="F100:H100"/>
    <mergeCell ref="I100:K100"/>
    <mergeCell ref="F103:H103"/>
    <mergeCell ref="I103:K103"/>
    <mergeCell ref="F102:H102"/>
    <mergeCell ref="I102:K102"/>
    <mergeCell ref="F104:H104"/>
    <mergeCell ref="I104:K104"/>
    <mergeCell ref="S100:S101"/>
    <mergeCell ref="T100:T101"/>
    <mergeCell ref="U100:U101"/>
    <mergeCell ref="V100:V101"/>
    <mergeCell ref="W100:W101"/>
    <mergeCell ref="F101:H101"/>
    <mergeCell ref="I101:K101"/>
    <mergeCell ref="U102:U103"/>
    <mergeCell ref="U98:U99"/>
    <mergeCell ref="V98:V99"/>
    <mergeCell ref="W98:W99"/>
    <mergeCell ref="F99:H99"/>
    <mergeCell ref="I99:K99"/>
    <mergeCell ref="F98:H98"/>
    <mergeCell ref="I98:K98"/>
    <mergeCell ref="S98:S99"/>
    <mergeCell ref="T98:T99"/>
    <mergeCell ref="V102:V103"/>
    <mergeCell ref="W102:W103"/>
    <mergeCell ref="S102:S103"/>
    <mergeCell ref="T102:T103"/>
    <mergeCell ref="A96:A97"/>
    <mergeCell ref="B96:B97"/>
    <mergeCell ref="C96:C97"/>
    <mergeCell ref="D96:D97"/>
    <mergeCell ref="E96:E97"/>
    <mergeCell ref="A98:A99"/>
    <mergeCell ref="B98:B99"/>
    <mergeCell ref="C98:C99"/>
    <mergeCell ref="D98:D99"/>
    <mergeCell ref="E98:E99"/>
    <mergeCell ref="F96:H96"/>
    <mergeCell ref="I96:K96"/>
    <mergeCell ref="S96:S97"/>
    <mergeCell ref="T96:T97"/>
    <mergeCell ref="V92:V93"/>
    <mergeCell ref="W92:W93"/>
    <mergeCell ref="F93:H93"/>
    <mergeCell ref="I93:K93"/>
    <mergeCell ref="U94:U95"/>
    <mergeCell ref="V94:V95"/>
    <mergeCell ref="W94:W95"/>
    <mergeCell ref="U96:U97"/>
    <mergeCell ref="V96:V97"/>
    <mergeCell ref="W96:W97"/>
    <mergeCell ref="F97:H97"/>
    <mergeCell ref="I97:K97"/>
    <mergeCell ref="A94:A95"/>
    <mergeCell ref="B94:B95"/>
    <mergeCell ref="C94:C95"/>
    <mergeCell ref="D94:D95"/>
    <mergeCell ref="E94:E95"/>
    <mergeCell ref="F94:H94"/>
    <mergeCell ref="I94:K94"/>
    <mergeCell ref="S94:S95"/>
    <mergeCell ref="T94:T95"/>
    <mergeCell ref="F95:H95"/>
    <mergeCell ref="I95:K95"/>
    <mergeCell ref="V90:V91"/>
    <mergeCell ref="W90:W91"/>
    <mergeCell ref="F91:H91"/>
    <mergeCell ref="I91:K91"/>
    <mergeCell ref="A88:A89"/>
    <mergeCell ref="B88:B89"/>
    <mergeCell ref="C88:C89"/>
    <mergeCell ref="A92:A93"/>
    <mergeCell ref="B92:B93"/>
    <mergeCell ref="C92:C93"/>
    <mergeCell ref="D92:D93"/>
    <mergeCell ref="E92:E93"/>
    <mergeCell ref="F92:H92"/>
    <mergeCell ref="I92:K92"/>
    <mergeCell ref="S92:S93"/>
    <mergeCell ref="T92:T93"/>
    <mergeCell ref="A90:A91"/>
    <mergeCell ref="B90:B91"/>
    <mergeCell ref="C90:C91"/>
    <mergeCell ref="D90:D91"/>
    <mergeCell ref="E90:E91"/>
    <mergeCell ref="F90:H90"/>
    <mergeCell ref="I90:K90"/>
    <mergeCell ref="U92:U93"/>
    <mergeCell ref="S90:S91"/>
    <mergeCell ref="T90:T91"/>
    <mergeCell ref="D88:D89"/>
    <mergeCell ref="E88:E89"/>
    <mergeCell ref="F88:H88"/>
    <mergeCell ref="I88:K88"/>
    <mergeCell ref="S88:S89"/>
    <mergeCell ref="T88:T89"/>
    <mergeCell ref="U84:U85"/>
    <mergeCell ref="U90:U91"/>
    <mergeCell ref="V84:V85"/>
    <mergeCell ref="W84:W85"/>
    <mergeCell ref="F85:H85"/>
    <mergeCell ref="I85:K85"/>
    <mergeCell ref="U86:U87"/>
    <mergeCell ref="U88:U89"/>
    <mergeCell ref="F89:H89"/>
    <mergeCell ref="I89:K89"/>
    <mergeCell ref="V86:V87"/>
    <mergeCell ref="W86:W87"/>
    <mergeCell ref="V88:V89"/>
    <mergeCell ref="W88:W89"/>
    <mergeCell ref="A86:A87"/>
    <mergeCell ref="B86:B87"/>
    <mergeCell ref="C86:C87"/>
    <mergeCell ref="D86:D87"/>
    <mergeCell ref="E86:E87"/>
    <mergeCell ref="F86:H86"/>
    <mergeCell ref="I86:K86"/>
    <mergeCell ref="S86:S87"/>
    <mergeCell ref="T86:T87"/>
    <mergeCell ref="F87:H87"/>
    <mergeCell ref="I87:K87"/>
    <mergeCell ref="A84:A85"/>
    <mergeCell ref="B84:B85"/>
    <mergeCell ref="C84:C85"/>
    <mergeCell ref="D84:D85"/>
    <mergeCell ref="E84:E85"/>
    <mergeCell ref="F84:H84"/>
    <mergeCell ref="I84:K84"/>
    <mergeCell ref="S84:S85"/>
    <mergeCell ref="T84:T85"/>
    <mergeCell ref="U82:U83"/>
    <mergeCell ref="V82:V83"/>
    <mergeCell ref="W82:W83"/>
    <mergeCell ref="F83:H83"/>
    <mergeCell ref="I83:K83"/>
    <mergeCell ref="A80:A81"/>
    <mergeCell ref="B80:B81"/>
    <mergeCell ref="C80:C81"/>
    <mergeCell ref="D80:D81"/>
    <mergeCell ref="E80:E81"/>
    <mergeCell ref="A82:A83"/>
    <mergeCell ref="B82:B83"/>
    <mergeCell ref="C82:C83"/>
    <mergeCell ref="D82:D83"/>
    <mergeCell ref="E82:E83"/>
    <mergeCell ref="F82:H82"/>
    <mergeCell ref="I82:K82"/>
    <mergeCell ref="S82:S83"/>
    <mergeCell ref="T82:T83"/>
    <mergeCell ref="F80:H80"/>
    <mergeCell ref="I80:K80"/>
    <mergeCell ref="S80:S81"/>
    <mergeCell ref="T80:T81"/>
    <mergeCell ref="U76:U77"/>
    <mergeCell ref="V76:V77"/>
    <mergeCell ref="W76:W77"/>
    <mergeCell ref="F77:H77"/>
    <mergeCell ref="I77:K77"/>
    <mergeCell ref="U78:U79"/>
    <mergeCell ref="V78:V79"/>
    <mergeCell ref="W78:W79"/>
    <mergeCell ref="U80:U81"/>
    <mergeCell ref="V80:V81"/>
    <mergeCell ref="W80:W81"/>
    <mergeCell ref="F81:H81"/>
    <mergeCell ref="I81:K81"/>
    <mergeCell ref="A78:A79"/>
    <mergeCell ref="B78:B79"/>
    <mergeCell ref="C78:C79"/>
    <mergeCell ref="D78:D79"/>
    <mergeCell ref="E78:E79"/>
    <mergeCell ref="F78:H78"/>
    <mergeCell ref="I78:K78"/>
    <mergeCell ref="S78:S79"/>
    <mergeCell ref="T78:T79"/>
    <mergeCell ref="F79:H79"/>
    <mergeCell ref="I79:K79"/>
    <mergeCell ref="A76:A77"/>
    <mergeCell ref="B76:B77"/>
    <mergeCell ref="C76:C77"/>
    <mergeCell ref="D76:D77"/>
    <mergeCell ref="E76:E77"/>
    <mergeCell ref="F76:H76"/>
    <mergeCell ref="I76:K76"/>
    <mergeCell ref="S76:S77"/>
    <mergeCell ref="T76:T77"/>
    <mergeCell ref="W72:W73"/>
    <mergeCell ref="F73:H73"/>
    <mergeCell ref="I73:K73"/>
    <mergeCell ref="A74:A75"/>
    <mergeCell ref="B74:B75"/>
    <mergeCell ref="C74:C75"/>
    <mergeCell ref="D74:D75"/>
    <mergeCell ref="E74:E75"/>
    <mergeCell ref="F74:H74"/>
    <mergeCell ref="I74:K74"/>
    <mergeCell ref="S74:S75"/>
    <mergeCell ref="T74:T75"/>
    <mergeCell ref="U74:U75"/>
    <mergeCell ref="V74:V75"/>
    <mergeCell ref="W74:W75"/>
    <mergeCell ref="F75:H75"/>
    <mergeCell ref="I75:K75"/>
    <mergeCell ref="A72:A73"/>
    <mergeCell ref="B72:B73"/>
    <mergeCell ref="C72:C73"/>
    <mergeCell ref="D72:D73"/>
    <mergeCell ref="E72:E73"/>
    <mergeCell ref="F72:H72"/>
    <mergeCell ref="I72:K72"/>
    <mergeCell ref="S72:S73"/>
    <mergeCell ref="T72:T73"/>
    <mergeCell ref="U68:U71"/>
    <mergeCell ref="F69:H71"/>
    <mergeCell ref="I69:K71"/>
    <mergeCell ref="R69:R71"/>
    <mergeCell ref="V68:V71"/>
    <mergeCell ref="U72:U73"/>
    <mergeCell ref="V72:V73"/>
    <mergeCell ref="W68:W71"/>
    <mergeCell ref="A64:A65"/>
    <mergeCell ref="B64:B65"/>
    <mergeCell ref="C64:C65"/>
    <mergeCell ref="A68:A71"/>
    <mergeCell ref="B68:B71"/>
    <mergeCell ref="C68:C71"/>
    <mergeCell ref="D68:D71"/>
    <mergeCell ref="E68:E71"/>
    <mergeCell ref="F68:H68"/>
    <mergeCell ref="I68:K68"/>
    <mergeCell ref="S68:S71"/>
    <mergeCell ref="T68:T71"/>
    <mergeCell ref="U66:U67"/>
    <mergeCell ref="V66:V67"/>
    <mergeCell ref="W66:W67"/>
    <mergeCell ref="F67:H67"/>
    <mergeCell ref="I67:K67"/>
    <mergeCell ref="A66:A67"/>
    <mergeCell ref="B66:B67"/>
    <mergeCell ref="C66:C67"/>
    <mergeCell ref="D66:D67"/>
    <mergeCell ref="E66:E67"/>
    <mergeCell ref="F66:H66"/>
    <mergeCell ref="A62:A63"/>
    <mergeCell ref="B62:B63"/>
    <mergeCell ref="C62:C63"/>
    <mergeCell ref="D62:D63"/>
    <mergeCell ref="E62:E63"/>
    <mergeCell ref="F62:H62"/>
    <mergeCell ref="I62:K62"/>
    <mergeCell ref="S62:S63"/>
    <mergeCell ref="T62:T63"/>
    <mergeCell ref="U62:U63"/>
    <mergeCell ref="V62:V63"/>
    <mergeCell ref="W62:W63"/>
    <mergeCell ref="F63:H63"/>
    <mergeCell ref="I63:K63"/>
    <mergeCell ref="I66:K66"/>
    <mergeCell ref="S66:S67"/>
    <mergeCell ref="T66:T67"/>
    <mergeCell ref="U58:U61"/>
    <mergeCell ref="V58:V61"/>
    <mergeCell ref="W58:W61"/>
    <mergeCell ref="F59:H61"/>
    <mergeCell ref="I59:K61"/>
    <mergeCell ref="R59:R61"/>
    <mergeCell ref="D64:D65"/>
    <mergeCell ref="E64:E65"/>
    <mergeCell ref="F64:H64"/>
    <mergeCell ref="I64:K64"/>
    <mergeCell ref="S64:S65"/>
    <mergeCell ref="T64:T65"/>
    <mergeCell ref="U64:U65"/>
    <mergeCell ref="V64:V65"/>
    <mergeCell ref="W64:W65"/>
    <mergeCell ref="F65:H65"/>
    <mergeCell ref="I65:K65"/>
    <mergeCell ref="A58:A61"/>
    <mergeCell ref="B58:B61"/>
    <mergeCell ref="C58:C61"/>
    <mergeCell ref="D58:D61"/>
    <mergeCell ref="E58:E61"/>
    <mergeCell ref="F58:H58"/>
    <mergeCell ref="I58:K58"/>
    <mergeCell ref="S58:S61"/>
    <mergeCell ref="T58:T61"/>
    <mergeCell ref="S54:S55"/>
    <mergeCell ref="T54:T55"/>
    <mergeCell ref="U54:U55"/>
    <mergeCell ref="V54:V55"/>
    <mergeCell ref="W54:W55"/>
    <mergeCell ref="F55:H55"/>
    <mergeCell ref="I55:K55"/>
    <mergeCell ref="A56:A57"/>
    <mergeCell ref="B56:B57"/>
    <mergeCell ref="C56:C57"/>
    <mergeCell ref="D56:D57"/>
    <mergeCell ref="E56:E57"/>
    <mergeCell ref="F56:H56"/>
    <mergeCell ref="I56:K56"/>
    <mergeCell ref="S56:S57"/>
    <mergeCell ref="T56:T57"/>
    <mergeCell ref="U56:U57"/>
    <mergeCell ref="F57:H57"/>
    <mergeCell ref="I57:K57"/>
    <mergeCell ref="V56:V57"/>
    <mergeCell ref="W56:W57"/>
    <mergeCell ref="S41:S42"/>
    <mergeCell ref="T41:T42"/>
    <mergeCell ref="U41:U42"/>
    <mergeCell ref="U29:U30"/>
    <mergeCell ref="F20:H20"/>
    <mergeCell ref="A138:U138"/>
    <mergeCell ref="I20:K20"/>
    <mergeCell ref="D37:D38"/>
    <mergeCell ref="E37:E38"/>
    <mergeCell ref="A41:A42"/>
    <mergeCell ref="B41:B42"/>
    <mergeCell ref="C41:C42"/>
    <mergeCell ref="D41:D42"/>
    <mergeCell ref="E41:E42"/>
    <mergeCell ref="A35:A36"/>
    <mergeCell ref="B35:B36"/>
    <mergeCell ref="A54:A55"/>
    <mergeCell ref="B54:B55"/>
    <mergeCell ref="C54:C55"/>
    <mergeCell ref="D54:D55"/>
    <mergeCell ref="E54:E55"/>
    <mergeCell ref="F54:H54"/>
    <mergeCell ref="I54:K54"/>
    <mergeCell ref="R54:R55"/>
    <mergeCell ref="U15:U19"/>
    <mergeCell ref="S15:S19"/>
    <mergeCell ref="T15:T19"/>
    <mergeCell ref="R15:R19"/>
    <mergeCell ref="N16:N19"/>
    <mergeCell ref="O16:O19"/>
    <mergeCell ref="P16:P19"/>
    <mergeCell ref="I15:K19"/>
    <mergeCell ref="L15:Q15"/>
    <mergeCell ref="Q16:Q19"/>
    <mergeCell ref="L16:L19"/>
    <mergeCell ref="M16:M19"/>
    <mergeCell ref="A23:A24"/>
    <mergeCell ref="B23:B24"/>
    <mergeCell ref="C23:C24"/>
    <mergeCell ref="D23:D24"/>
    <mergeCell ref="E23:E24"/>
    <mergeCell ref="F23:H23"/>
    <mergeCell ref="I23:K23"/>
    <mergeCell ref="R23:R24"/>
    <mergeCell ref="Q13:S13"/>
    <mergeCell ref="S23:S24"/>
    <mergeCell ref="A1:C1"/>
    <mergeCell ref="D1:S1"/>
    <mergeCell ref="A2:C2"/>
    <mergeCell ref="E6:R6"/>
    <mergeCell ref="E7:R7"/>
    <mergeCell ref="A9:B9"/>
    <mergeCell ref="P9:R9"/>
    <mergeCell ref="E10:G10"/>
    <mergeCell ref="P10:R10"/>
    <mergeCell ref="D11:F11"/>
    <mergeCell ref="N11:P11"/>
    <mergeCell ref="A13:C13"/>
    <mergeCell ref="E13:I13"/>
    <mergeCell ref="J13:L13"/>
    <mergeCell ref="M13:P13"/>
    <mergeCell ref="A15:A19"/>
    <mergeCell ref="I14:K14"/>
    <mergeCell ref="B15:B19"/>
    <mergeCell ref="C15:C19"/>
    <mergeCell ref="D15:D19"/>
    <mergeCell ref="E15:E19"/>
    <mergeCell ref="F15:H19"/>
    <mergeCell ref="A25:A26"/>
    <mergeCell ref="B25:B26"/>
    <mergeCell ref="C25:C26"/>
    <mergeCell ref="D25:D26"/>
    <mergeCell ref="E25:E26"/>
    <mergeCell ref="F25:H25"/>
    <mergeCell ref="I25:K25"/>
    <mergeCell ref="R25:R26"/>
    <mergeCell ref="S25:S26"/>
    <mergeCell ref="F26:H26"/>
    <mergeCell ref="I26:K26"/>
    <mergeCell ref="T39:T40"/>
    <mergeCell ref="U39:U40"/>
    <mergeCell ref="V39:V40"/>
    <mergeCell ref="W39:W40"/>
    <mergeCell ref="F40:H40"/>
    <mergeCell ref="I40:K40"/>
    <mergeCell ref="V23:V24"/>
    <mergeCell ref="W23:W24"/>
    <mergeCell ref="F24:H24"/>
    <mergeCell ref="I24:K24"/>
    <mergeCell ref="T25:T26"/>
    <mergeCell ref="U25:U26"/>
    <mergeCell ref="V25:V26"/>
    <mergeCell ref="W25:W26"/>
    <mergeCell ref="T23:T24"/>
    <mergeCell ref="U23:U24"/>
    <mergeCell ref="F37:H37"/>
    <mergeCell ref="I37:K37"/>
    <mergeCell ref="R37:R38"/>
    <mergeCell ref="S37:S38"/>
    <mergeCell ref="T37:T38"/>
    <mergeCell ref="U37:U38"/>
    <mergeCell ref="R27:R28"/>
    <mergeCell ref="S27:S28"/>
    <mergeCell ref="T27:T28"/>
    <mergeCell ref="U27:U28"/>
    <mergeCell ref="V27:V28"/>
    <mergeCell ref="W27:W28"/>
    <mergeCell ref="F28:H28"/>
    <mergeCell ref="I28:K28"/>
    <mergeCell ref="A37:A38"/>
    <mergeCell ref="B37:B38"/>
    <mergeCell ref="C37:C38"/>
    <mergeCell ref="A29:A30"/>
    <mergeCell ref="B29:B30"/>
    <mergeCell ref="C29:C30"/>
    <mergeCell ref="D29:D30"/>
    <mergeCell ref="E29:E30"/>
    <mergeCell ref="F29:H29"/>
    <mergeCell ref="I29:K29"/>
    <mergeCell ref="R29:R30"/>
    <mergeCell ref="S29:S30"/>
    <mergeCell ref="T29:T30"/>
    <mergeCell ref="V37:V38"/>
    <mergeCell ref="W37:W38"/>
    <mergeCell ref="F38:H38"/>
    <mergeCell ref="A27:A28"/>
    <mergeCell ref="B27:B28"/>
    <mergeCell ref="C27:C28"/>
    <mergeCell ref="D27:D28"/>
    <mergeCell ref="E27:E28"/>
    <mergeCell ref="F27:H27"/>
    <mergeCell ref="I27:K27"/>
    <mergeCell ref="I38:K38"/>
    <mergeCell ref="A39:A40"/>
    <mergeCell ref="B39:B40"/>
    <mergeCell ref="C39:C40"/>
    <mergeCell ref="D39:D40"/>
    <mergeCell ref="E39:E40"/>
    <mergeCell ref="F39:H39"/>
    <mergeCell ref="I39:K39"/>
    <mergeCell ref="A31:A32"/>
    <mergeCell ref="B31:B32"/>
    <mergeCell ref="A33:A34"/>
    <mergeCell ref="B33:B34"/>
    <mergeCell ref="C33:C34"/>
    <mergeCell ref="D33:D34"/>
    <mergeCell ref="E33:E34"/>
    <mergeCell ref="F33:H33"/>
    <mergeCell ref="I33:K33"/>
    <mergeCell ref="I32:K32"/>
    <mergeCell ref="C35:C36"/>
    <mergeCell ref="V29:V30"/>
    <mergeCell ref="W29:W30"/>
    <mergeCell ref="F30:H30"/>
    <mergeCell ref="I30:K30"/>
    <mergeCell ref="T33:T34"/>
    <mergeCell ref="U33:U34"/>
    <mergeCell ref="V33:V34"/>
    <mergeCell ref="W33:W34"/>
    <mergeCell ref="V41:V42"/>
    <mergeCell ref="W41:W42"/>
    <mergeCell ref="F42:H42"/>
    <mergeCell ref="I42:K42"/>
    <mergeCell ref="F41:H41"/>
    <mergeCell ref="I41:K41"/>
    <mergeCell ref="R39:R40"/>
    <mergeCell ref="S39:S40"/>
    <mergeCell ref="T31:T32"/>
    <mergeCell ref="U31:U32"/>
    <mergeCell ref="V31:V32"/>
    <mergeCell ref="W31:W32"/>
    <mergeCell ref="F32:H32"/>
    <mergeCell ref="R33:R34"/>
    <mergeCell ref="S33:S34"/>
    <mergeCell ref="F34:H34"/>
    <mergeCell ref="W35:W36"/>
    <mergeCell ref="F36:H36"/>
    <mergeCell ref="I36:K36"/>
    <mergeCell ref="C31:C32"/>
    <mergeCell ref="D31:D32"/>
    <mergeCell ref="E31:E32"/>
    <mergeCell ref="F31:H31"/>
    <mergeCell ref="I31:K31"/>
    <mergeCell ref="R31:R32"/>
    <mergeCell ref="S31:S32"/>
    <mergeCell ref="D35:D36"/>
    <mergeCell ref="E35:E36"/>
    <mergeCell ref="F35:H35"/>
    <mergeCell ref="I35:K35"/>
    <mergeCell ref="R35:R36"/>
    <mergeCell ref="S35:S36"/>
    <mergeCell ref="T35:T36"/>
    <mergeCell ref="U35:U36"/>
    <mergeCell ref="V35:V36"/>
    <mergeCell ref="I34:K34"/>
    <mergeCell ref="R45:R46"/>
    <mergeCell ref="S45:S46"/>
    <mergeCell ref="T45:T46"/>
    <mergeCell ref="U45:U46"/>
    <mergeCell ref="V45:V46"/>
    <mergeCell ref="W45:W46"/>
    <mergeCell ref="F46:H46"/>
    <mergeCell ref="I46:K46"/>
    <mergeCell ref="C43:C44"/>
    <mergeCell ref="W43:W44"/>
    <mergeCell ref="F44:H44"/>
    <mergeCell ref="I44:K44"/>
    <mergeCell ref="R43:R44"/>
    <mergeCell ref="S43:S44"/>
    <mergeCell ref="T43:T44"/>
    <mergeCell ref="U43:U44"/>
    <mergeCell ref="V43:V44"/>
    <mergeCell ref="A47:A48"/>
    <mergeCell ref="B47:B48"/>
    <mergeCell ref="C47:C48"/>
    <mergeCell ref="D47:D48"/>
    <mergeCell ref="E47:E48"/>
    <mergeCell ref="F47:H47"/>
    <mergeCell ref="I47:K47"/>
    <mergeCell ref="D43:D44"/>
    <mergeCell ref="E43:E44"/>
    <mergeCell ref="F43:H43"/>
    <mergeCell ref="I43:K43"/>
    <mergeCell ref="F48:H48"/>
    <mergeCell ref="I48:K48"/>
    <mergeCell ref="A43:A44"/>
    <mergeCell ref="B43:B44"/>
    <mergeCell ref="A45:A46"/>
    <mergeCell ref="B45:B46"/>
    <mergeCell ref="C45:C46"/>
    <mergeCell ref="D45:D46"/>
    <mergeCell ref="E45:E46"/>
    <mergeCell ref="F45:H45"/>
    <mergeCell ref="I45:K45"/>
    <mergeCell ref="R47:R48"/>
    <mergeCell ref="S47:S48"/>
    <mergeCell ref="T49:T50"/>
    <mergeCell ref="U49:U50"/>
    <mergeCell ref="V49:V50"/>
    <mergeCell ref="W49:W50"/>
    <mergeCell ref="X49:X50"/>
    <mergeCell ref="F50:H50"/>
    <mergeCell ref="I50:K50"/>
    <mergeCell ref="T47:T48"/>
    <mergeCell ref="U47:U48"/>
    <mergeCell ref="V47:V48"/>
    <mergeCell ref="W47:W48"/>
    <mergeCell ref="T51:T52"/>
    <mergeCell ref="U51:U52"/>
    <mergeCell ref="V51:V52"/>
    <mergeCell ref="W51:W52"/>
    <mergeCell ref="F52:H52"/>
    <mergeCell ref="I52:K52"/>
    <mergeCell ref="A49:A50"/>
    <mergeCell ref="B49:B50"/>
    <mergeCell ref="C49:C50"/>
    <mergeCell ref="D49:D50"/>
    <mergeCell ref="E49:E50"/>
    <mergeCell ref="F49:H49"/>
    <mergeCell ref="I49:K49"/>
    <mergeCell ref="R49:R50"/>
    <mergeCell ref="S49:S50"/>
    <mergeCell ref="A51:A52"/>
    <mergeCell ref="B51:B52"/>
    <mergeCell ref="C51:C52"/>
    <mergeCell ref="D51:D52"/>
    <mergeCell ref="E51:E52"/>
    <mergeCell ref="F51:H51"/>
    <mergeCell ref="I51:K51"/>
    <mergeCell ref="R51:R52"/>
    <mergeCell ref="S51:S52"/>
  </mergeCells>
  <printOptions horizontalCentered="1"/>
  <pageMargins left="0" right="0" top="1" bottom="0" header="0.3" footer="0.3"/>
  <pageSetup paperSize="9" scale="94" orientation="landscape" r:id="rId1"/>
  <rowBreaks count="1" manualBreakCount="1">
    <brk id="101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V139"/>
  <sheetViews>
    <sheetView showZeros="0" tabSelected="1" view="pageBreakPreview" zoomScale="115" zoomScaleNormal="115" zoomScaleSheetLayoutView="115" workbookViewId="0">
      <selection activeCell="Z15" sqref="Z15"/>
    </sheetView>
  </sheetViews>
  <sheetFormatPr defaultRowHeight="15"/>
  <cols>
    <col min="1" max="1" width="3.42578125" style="167" customWidth="1"/>
    <col min="2" max="2" width="7.5703125" style="167" hidden="1" customWidth="1"/>
    <col min="3" max="3" width="58.140625" style="168" customWidth="1"/>
    <col min="4" max="4" width="5.85546875" style="159" customWidth="1"/>
    <col min="5" max="5" width="6.28515625" style="173" customWidth="1"/>
    <col min="6" max="7" width="2.140625" style="169" hidden="1" customWidth="1"/>
    <col min="8" max="8" width="2.28515625" style="169" hidden="1" customWidth="1"/>
    <col min="9" max="9" width="1.85546875" style="169" hidden="1" customWidth="1"/>
    <col min="10" max="10" width="2.140625" style="169" hidden="1" customWidth="1"/>
    <col min="11" max="11" width="2.42578125" style="169" hidden="1" customWidth="1"/>
    <col min="12" max="12" width="18" style="337" hidden="1" customWidth="1"/>
    <col min="13" max="13" width="4.28515625" style="159" hidden="1" customWidth="1"/>
    <col min="14" max="14" width="5.5703125" style="159" hidden="1" customWidth="1"/>
    <col min="15" max="15" width="6.85546875" style="173" hidden="1" customWidth="1"/>
    <col min="16" max="16" width="5.5703125" style="238" hidden="1" customWidth="1"/>
    <col min="17" max="17" width="5.28515625" style="170" hidden="1" customWidth="1"/>
    <col min="18" max="18" width="5.5703125" style="159" hidden="1" customWidth="1"/>
    <col min="19" max="19" width="5.42578125" style="159" hidden="1" customWidth="1"/>
    <col min="20" max="20" width="7.42578125" style="175" hidden="1" customWidth="1"/>
    <col min="21" max="21" width="7.28515625" style="171" hidden="1" customWidth="1"/>
    <col min="22" max="22" width="9.140625" style="159"/>
    <col min="23" max="23" width="12.28515625" style="159" customWidth="1"/>
    <col min="24" max="24" width="8.42578125" style="159" customWidth="1"/>
    <col min="25" max="25" width="11.85546875" style="159" bestFit="1" customWidth="1"/>
    <col min="26" max="26" width="19.5703125" style="159" bestFit="1" customWidth="1"/>
    <col min="27" max="16384" width="9.140625" style="159"/>
  </cols>
  <sheetData>
    <row r="1" spans="1:25" s="116" customFormat="1" ht="47.25" customHeight="1">
      <c r="A1" s="1154" t="str">
        <f>+'1'!D1</f>
        <v xml:space="preserve">ԵՂԵԳԻՍ  ՀԱՄԱՅՆՔԻ ՔԱՐԱԳԼՈՒԽ ԳՅՈՒՂԻ ՋՐԱՄԱՏԱԿԱՐԱՐՈՒՄ  </v>
      </c>
      <c r="B1" s="1154"/>
      <c r="C1" s="1154"/>
      <c r="D1" s="1154"/>
      <c r="E1" s="1154"/>
      <c r="F1" s="1154"/>
      <c r="G1" s="1154"/>
      <c r="H1" s="1154"/>
      <c r="I1" s="1154"/>
      <c r="J1" s="1154"/>
      <c r="K1" s="1154"/>
      <c r="L1" s="1154"/>
      <c r="M1" s="1154"/>
      <c r="N1" s="1154"/>
      <c r="O1" s="1154"/>
      <c r="P1" s="1154"/>
      <c r="Q1" s="1154"/>
      <c r="R1" s="1154"/>
      <c r="S1" s="1154"/>
      <c r="T1" s="1154"/>
      <c r="U1" s="1154"/>
      <c r="V1" s="1154"/>
      <c r="W1" s="1154"/>
      <c r="X1" s="1154"/>
    </row>
    <row r="2" spans="1:25" s="116" customFormat="1" ht="3" customHeight="1">
      <c r="A2" s="929"/>
      <c r="B2" s="929"/>
      <c r="C2" s="929"/>
      <c r="D2" s="662"/>
      <c r="E2" s="177"/>
      <c r="F2" s="118"/>
      <c r="G2" s="118"/>
      <c r="H2" s="118"/>
      <c r="I2" s="118"/>
      <c r="J2" s="118"/>
      <c r="K2" s="118"/>
      <c r="L2" s="335"/>
      <c r="M2" s="119"/>
      <c r="N2" s="120"/>
      <c r="O2" s="120"/>
      <c r="P2" s="141"/>
      <c r="Q2" s="121"/>
      <c r="R2" s="120"/>
      <c r="S2" s="120"/>
      <c r="T2" s="174"/>
      <c r="U2" s="114"/>
      <c r="V2" s="115"/>
      <c r="W2" s="115"/>
    </row>
    <row r="3" spans="1:25" s="116" customFormat="1" ht="12.75" hidden="1">
      <c r="A3" s="123"/>
      <c r="B3" s="123"/>
      <c r="C3" s="124"/>
      <c r="D3" s="120"/>
      <c r="E3" s="120"/>
      <c r="F3" s="353"/>
      <c r="G3" s="353"/>
      <c r="H3" s="353"/>
      <c r="I3" s="353"/>
      <c r="J3" s="353"/>
      <c r="K3" s="353"/>
      <c r="L3" s="336"/>
      <c r="M3" s="120"/>
      <c r="N3" s="120"/>
      <c r="O3" s="120"/>
      <c r="P3" s="141"/>
      <c r="Q3" s="121"/>
      <c r="R3" s="120"/>
      <c r="S3" s="120"/>
      <c r="T3" s="141"/>
      <c r="U3" s="125"/>
      <c r="V3" s="115"/>
      <c r="W3" s="115"/>
    </row>
    <row r="4" spans="1:25" s="132" customFormat="1" ht="15.75">
      <c r="A4" s="1157" t="s">
        <v>161</v>
      </c>
      <c r="B4" s="1158"/>
      <c r="C4" s="1158"/>
      <c r="D4" s="1158"/>
      <c r="E4" s="1158"/>
      <c r="F4" s="1158"/>
      <c r="G4" s="1158"/>
      <c r="H4" s="1158"/>
      <c r="I4" s="1158"/>
      <c r="J4" s="1158"/>
      <c r="K4" s="1158"/>
      <c r="L4" s="1158"/>
      <c r="M4" s="1158"/>
      <c r="N4" s="1158"/>
      <c r="O4" s="1158"/>
      <c r="P4" s="1158"/>
      <c r="Q4" s="1158"/>
      <c r="R4" s="1158"/>
      <c r="S4" s="1158"/>
      <c r="T4" s="1158"/>
      <c r="U4" s="1158"/>
      <c r="V4" s="1158"/>
      <c r="W4" s="176" t="str">
        <f>+'1'!C9</f>
        <v xml:space="preserve">№ </v>
      </c>
    </row>
    <row r="5" spans="1:25" s="138" customFormat="1" ht="2.25" customHeight="1" thickBot="1">
      <c r="A5" s="134"/>
      <c r="B5" s="134"/>
      <c r="C5" s="124"/>
      <c r="D5" s="133"/>
      <c r="E5" s="133"/>
      <c r="F5" s="353"/>
      <c r="G5" s="353"/>
      <c r="H5" s="353"/>
      <c r="I5" s="353"/>
      <c r="J5" s="353"/>
      <c r="K5" s="353"/>
      <c r="L5" s="336"/>
      <c r="M5" s="133"/>
      <c r="N5" s="133"/>
      <c r="O5" s="133"/>
      <c r="P5" s="141"/>
      <c r="Q5" s="121"/>
      <c r="R5" s="133"/>
      <c r="S5" s="133"/>
      <c r="T5" s="141"/>
      <c r="U5" s="135"/>
      <c r="V5" s="136"/>
      <c r="W5" s="367"/>
      <c r="X5" s="133"/>
      <c r="Y5" s="133"/>
    </row>
    <row r="6" spans="1:25" s="138" customFormat="1" ht="13.5" hidden="1" customHeight="1">
      <c r="A6" s="134"/>
      <c r="B6" s="134"/>
      <c r="C6" s="124"/>
      <c r="D6" s="662"/>
      <c r="E6" s="931" t="s">
        <v>176</v>
      </c>
      <c r="F6" s="931"/>
      <c r="G6" s="931"/>
      <c r="H6" s="931"/>
      <c r="I6" s="931"/>
      <c r="J6" s="931"/>
      <c r="K6" s="931"/>
      <c r="L6" s="931"/>
      <c r="M6" s="931"/>
      <c r="N6" s="931"/>
      <c r="O6" s="931"/>
      <c r="P6" s="931"/>
      <c r="Q6" s="931"/>
      <c r="R6" s="931"/>
      <c r="S6" s="133"/>
      <c r="T6" s="141"/>
      <c r="U6" s="135"/>
      <c r="V6" s="136"/>
      <c r="W6" s="133"/>
      <c r="X6" s="368"/>
      <c r="Y6" s="133"/>
    </row>
    <row r="7" spans="1:25" s="138" customFormat="1" ht="12" hidden="1" customHeight="1">
      <c r="A7" s="134"/>
      <c r="B7" s="134"/>
      <c r="C7" s="124"/>
      <c r="D7" s="133"/>
      <c r="E7" s="932"/>
      <c r="F7" s="932"/>
      <c r="G7" s="932"/>
      <c r="H7" s="932"/>
      <c r="I7" s="932"/>
      <c r="J7" s="932"/>
      <c r="K7" s="932"/>
      <c r="L7" s="932"/>
      <c r="M7" s="932"/>
      <c r="N7" s="932"/>
      <c r="O7" s="932"/>
      <c r="P7" s="932"/>
      <c r="Q7" s="932"/>
      <c r="R7" s="932"/>
      <c r="S7" s="133"/>
      <c r="T7" s="141"/>
      <c r="U7" s="135"/>
      <c r="V7" s="136"/>
      <c r="W7" s="133"/>
      <c r="X7" s="133"/>
      <c r="Y7" s="133"/>
    </row>
    <row r="8" spans="1:25" s="138" customFormat="1" ht="0.75" hidden="1" customHeight="1">
      <c r="A8" s="134"/>
      <c r="B8" s="134"/>
      <c r="C8" s="124"/>
      <c r="D8" s="140"/>
      <c r="E8" s="141"/>
      <c r="F8" s="353"/>
      <c r="G8" s="353"/>
      <c r="H8" s="353"/>
      <c r="I8" s="353"/>
      <c r="J8" s="353"/>
      <c r="K8" s="353"/>
      <c r="L8" s="336"/>
      <c r="M8" s="133"/>
      <c r="N8" s="133"/>
      <c r="O8" s="133"/>
      <c r="P8" s="141"/>
      <c r="Q8" s="121"/>
      <c r="R8" s="142"/>
      <c r="S8" s="133"/>
      <c r="T8" s="141"/>
      <c r="U8" s="135"/>
      <c r="V8" s="136"/>
      <c r="W8" s="133"/>
      <c r="X8" s="133"/>
      <c r="Y8" s="133"/>
    </row>
    <row r="9" spans="1:25" s="138" customFormat="1" ht="12.75" hidden="1">
      <c r="A9" s="933" t="s">
        <v>79</v>
      </c>
      <c r="B9" s="933"/>
      <c r="C9" s="124" t="s">
        <v>174</v>
      </c>
      <c r="D9" s="133"/>
      <c r="E9" s="133"/>
      <c r="F9" s="353"/>
      <c r="G9" s="353"/>
      <c r="H9" s="353"/>
      <c r="I9" s="353"/>
      <c r="J9" s="353"/>
      <c r="K9" s="353"/>
      <c r="L9" s="336"/>
      <c r="M9" s="133"/>
      <c r="N9" s="133"/>
      <c r="O9" s="662" t="s">
        <v>80</v>
      </c>
      <c r="P9" s="934" t="e">
        <f>+#REF!</f>
        <v>#REF!</v>
      </c>
      <c r="Q9" s="934"/>
      <c r="R9" s="934"/>
      <c r="S9" s="143" t="s">
        <v>25</v>
      </c>
      <c r="T9" s="141"/>
      <c r="U9" s="135"/>
      <c r="V9" s="136"/>
      <c r="W9" s="133"/>
      <c r="X9" s="133"/>
      <c r="Y9" s="133"/>
    </row>
    <row r="10" spans="1:25" s="138" customFormat="1" ht="4.5" hidden="1" customHeight="1">
      <c r="A10" s="144"/>
      <c r="B10" s="144"/>
      <c r="C10" s="145"/>
      <c r="D10" s="146"/>
      <c r="E10" s="1159"/>
      <c r="F10" s="1159"/>
      <c r="G10" s="1159"/>
      <c r="H10" s="353"/>
      <c r="I10" s="353"/>
      <c r="J10" s="353"/>
      <c r="K10" s="353"/>
      <c r="L10" s="336"/>
      <c r="M10" s="133"/>
      <c r="N10" s="133"/>
      <c r="O10" s="662"/>
      <c r="P10" s="934"/>
      <c r="Q10" s="934"/>
      <c r="R10" s="934"/>
      <c r="S10" s="143"/>
      <c r="T10" s="353"/>
      <c r="U10" s="147"/>
      <c r="V10" s="136"/>
    </row>
    <row r="11" spans="1:25" s="138" customFormat="1" ht="12.75" hidden="1">
      <c r="A11" s="148" t="s">
        <v>81</v>
      </c>
      <c r="B11" s="148"/>
      <c r="C11" s="149"/>
      <c r="D11" s="901">
        <f>+'1'!D11:F11</f>
        <v>252984</v>
      </c>
      <c r="E11" s="901"/>
      <c r="F11" s="901"/>
      <c r="G11" s="225"/>
      <c r="H11" s="150"/>
      <c r="I11" s="150" t="s">
        <v>82</v>
      </c>
      <c r="J11" s="225"/>
      <c r="K11" s="225"/>
      <c r="L11" s="355" t="s">
        <v>83</v>
      </c>
      <c r="M11" s="226" t="s">
        <v>84</v>
      </c>
      <c r="N11" s="1155">
        <f>+'1'!N11:P11</f>
        <v>1.1525031000000003</v>
      </c>
      <c r="O11" s="1155"/>
      <c r="P11" s="1155"/>
      <c r="Q11" s="150"/>
      <c r="R11" s="227"/>
      <c r="S11" s="228"/>
      <c r="T11" s="228"/>
      <c r="U11" s="151"/>
      <c r="V11" s="152"/>
    </row>
    <row r="12" spans="1:25" s="138" customFormat="1" ht="7.5" hidden="1" customHeight="1">
      <c r="A12" s="148"/>
      <c r="B12" s="148"/>
      <c r="C12" s="153"/>
      <c r="D12" s="229"/>
      <c r="E12" s="230"/>
      <c r="F12" s="231"/>
      <c r="G12" s="232"/>
      <c r="H12" s="233"/>
      <c r="I12" s="233"/>
      <c r="J12" s="232"/>
      <c r="K12" s="232"/>
      <c r="L12" s="355"/>
      <c r="M12" s="228"/>
      <c r="N12" s="234"/>
      <c r="O12" s="228"/>
      <c r="P12" s="356"/>
      <c r="Q12" s="150"/>
      <c r="R12" s="227"/>
      <c r="S12" s="228"/>
      <c r="T12" s="228"/>
      <c r="U12" s="151"/>
      <c r="V12" s="152"/>
    </row>
    <row r="13" spans="1:25" s="138" customFormat="1" ht="14.25" hidden="1" customHeight="1">
      <c r="A13" s="903" t="s">
        <v>85</v>
      </c>
      <c r="B13" s="904"/>
      <c r="C13" s="904"/>
      <c r="D13" s="235"/>
      <c r="E13" s="905" t="s">
        <v>86</v>
      </c>
      <c r="F13" s="905"/>
      <c r="G13" s="905"/>
      <c r="H13" s="905"/>
      <c r="I13" s="905"/>
      <c r="J13" s="906">
        <f>+'1'!J13:L13</f>
        <v>2337</v>
      </c>
      <c r="K13" s="906"/>
      <c r="L13" s="906"/>
      <c r="M13" s="1156" t="s">
        <v>87</v>
      </c>
      <c r="N13" s="1156"/>
      <c r="O13" s="1156"/>
      <c r="P13" s="1156"/>
      <c r="Q13" s="906">
        <f>+'1'!Q13:S13</f>
        <v>3222.81</v>
      </c>
      <c r="R13" s="906"/>
      <c r="S13" s="906"/>
      <c r="T13" s="357"/>
      <c r="U13" s="179"/>
      <c r="V13" s="152"/>
    </row>
    <row r="14" spans="1:25" s="116" customFormat="1" ht="6" hidden="1" customHeight="1" thickBot="1">
      <c r="A14" s="180"/>
      <c r="B14" s="180"/>
      <c r="C14" s="153"/>
      <c r="D14" s="120"/>
      <c r="E14" s="120"/>
      <c r="F14" s="353"/>
      <c r="G14" s="353"/>
      <c r="H14" s="353"/>
      <c r="I14" s="910"/>
      <c r="J14" s="910"/>
      <c r="K14" s="910"/>
      <c r="L14" s="336"/>
      <c r="M14" s="120"/>
      <c r="N14" s="120"/>
      <c r="O14" s="120"/>
      <c r="P14" s="141"/>
      <c r="Q14" s="121"/>
      <c r="R14" s="181"/>
      <c r="S14" s="120"/>
      <c r="T14" s="150"/>
      <c r="U14" s="182">
        <f>+D11/35000*7.5</f>
        <v>54.210857142857144</v>
      </c>
      <c r="V14" s="272">
        <f>1.133*1.03*('ԱՄՓՈՓ  '!B37+1)*('ԱՄՓՈՓ  '!B41+1)*1.11</f>
        <v>1.3279371763350001</v>
      </c>
      <c r="W14" s="273"/>
      <c r="X14" s="361"/>
    </row>
    <row r="15" spans="1:25" s="154" customFormat="1" ht="18" customHeight="1" thickTop="1">
      <c r="A15" s="1151" t="s">
        <v>88</v>
      </c>
      <c r="B15" s="911" t="s">
        <v>89</v>
      </c>
      <c r="C15" s="914" t="s">
        <v>90</v>
      </c>
      <c r="D15" s="917" t="s">
        <v>91</v>
      </c>
      <c r="E15" s="917" t="s">
        <v>92</v>
      </c>
      <c r="F15" s="920" t="s">
        <v>93</v>
      </c>
      <c r="G15" s="1171"/>
      <c r="H15" s="1172"/>
      <c r="I15" s="920" t="s">
        <v>94</v>
      </c>
      <c r="J15" s="944"/>
      <c r="K15" s="945"/>
      <c r="L15" s="952" t="s">
        <v>95</v>
      </c>
      <c r="M15" s="953"/>
      <c r="N15" s="953"/>
      <c r="O15" s="953"/>
      <c r="P15" s="953"/>
      <c r="Q15" s="954"/>
      <c r="R15" s="917" t="s">
        <v>96</v>
      </c>
      <c r="S15" s="917" t="s">
        <v>97</v>
      </c>
      <c r="T15" s="940" t="s">
        <v>98</v>
      </c>
      <c r="U15" s="938" t="s">
        <v>99</v>
      </c>
      <c r="V15" s="917" t="s">
        <v>132</v>
      </c>
      <c r="W15" s="917" t="s">
        <v>98</v>
      </c>
      <c r="X15" s="1163" t="s">
        <v>175</v>
      </c>
    </row>
    <row r="16" spans="1:25" s="154" customFormat="1" ht="22.5" customHeight="1">
      <c r="A16" s="1152"/>
      <c r="B16" s="912"/>
      <c r="C16" s="915"/>
      <c r="D16" s="918"/>
      <c r="E16" s="918"/>
      <c r="F16" s="1173"/>
      <c r="G16" s="1174"/>
      <c r="H16" s="1175"/>
      <c r="I16" s="946"/>
      <c r="J16" s="947"/>
      <c r="K16" s="948"/>
      <c r="L16" s="1160" t="s">
        <v>108</v>
      </c>
      <c r="M16" s="943" t="s">
        <v>109</v>
      </c>
      <c r="N16" s="943" t="s">
        <v>110</v>
      </c>
      <c r="O16" s="943" t="s">
        <v>111</v>
      </c>
      <c r="P16" s="943" t="s">
        <v>96</v>
      </c>
      <c r="Q16" s="1168" t="s">
        <v>112</v>
      </c>
      <c r="R16" s="918"/>
      <c r="S16" s="918"/>
      <c r="T16" s="941"/>
      <c r="U16" s="1183"/>
      <c r="V16" s="918"/>
      <c r="W16" s="918"/>
      <c r="X16" s="1164"/>
    </row>
    <row r="17" spans="1:256" s="154" customFormat="1" ht="22.5" customHeight="1">
      <c r="A17" s="1152"/>
      <c r="B17" s="912"/>
      <c r="C17" s="915"/>
      <c r="D17" s="918"/>
      <c r="E17" s="918"/>
      <c r="F17" s="1173"/>
      <c r="G17" s="1174"/>
      <c r="H17" s="1175"/>
      <c r="I17" s="946"/>
      <c r="J17" s="947"/>
      <c r="K17" s="948"/>
      <c r="L17" s="1161"/>
      <c r="M17" s="918"/>
      <c r="N17" s="918"/>
      <c r="O17" s="918"/>
      <c r="P17" s="918"/>
      <c r="Q17" s="1169"/>
      <c r="R17" s="918"/>
      <c r="S17" s="918"/>
      <c r="T17" s="941"/>
      <c r="U17" s="1183"/>
      <c r="V17" s="918"/>
      <c r="W17" s="918"/>
      <c r="X17" s="1164"/>
    </row>
    <row r="18" spans="1:256" s="154" customFormat="1" ht="22.5" customHeight="1">
      <c r="A18" s="1152"/>
      <c r="B18" s="912"/>
      <c r="C18" s="915"/>
      <c r="D18" s="918"/>
      <c r="E18" s="918"/>
      <c r="F18" s="1173"/>
      <c r="G18" s="1174"/>
      <c r="H18" s="1175"/>
      <c r="I18" s="946"/>
      <c r="J18" s="947"/>
      <c r="K18" s="948"/>
      <c r="L18" s="1161"/>
      <c r="M18" s="918"/>
      <c r="N18" s="918"/>
      <c r="O18" s="918"/>
      <c r="P18" s="918"/>
      <c r="Q18" s="1169"/>
      <c r="R18" s="918"/>
      <c r="S18" s="918"/>
      <c r="T18" s="941"/>
      <c r="U18" s="1183"/>
      <c r="V18" s="918"/>
      <c r="W18" s="918"/>
      <c r="X18" s="1164"/>
    </row>
    <row r="19" spans="1:256" s="154" customFormat="1" ht="22.5" customHeight="1">
      <c r="A19" s="1153"/>
      <c r="B19" s="913"/>
      <c r="C19" s="916"/>
      <c r="D19" s="919"/>
      <c r="E19" s="919"/>
      <c r="F19" s="1176"/>
      <c r="G19" s="1177"/>
      <c r="H19" s="1178"/>
      <c r="I19" s="949"/>
      <c r="J19" s="950"/>
      <c r="K19" s="951"/>
      <c r="L19" s="1162"/>
      <c r="M19" s="919"/>
      <c r="N19" s="919"/>
      <c r="O19" s="919"/>
      <c r="P19" s="919"/>
      <c r="Q19" s="1170"/>
      <c r="R19" s="919"/>
      <c r="S19" s="919"/>
      <c r="T19" s="942"/>
      <c r="U19" s="1183"/>
      <c r="V19" s="919"/>
      <c r="W19" s="919"/>
      <c r="X19" s="1165"/>
    </row>
    <row r="20" spans="1:256" s="155" customFormat="1" ht="13.5" customHeight="1" thickBot="1">
      <c r="A20" s="204">
        <v>1</v>
      </c>
      <c r="B20" s="661">
        <v>2</v>
      </c>
      <c r="C20" s="205">
        <v>2</v>
      </c>
      <c r="D20" s="661">
        <v>3</v>
      </c>
      <c r="E20" s="205">
        <v>4</v>
      </c>
      <c r="F20" s="958">
        <v>6</v>
      </c>
      <c r="G20" s="1166"/>
      <c r="H20" s="1167"/>
      <c r="I20" s="958">
        <v>7</v>
      </c>
      <c r="J20" s="962"/>
      <c r="K20" s="963"/>
      <c r="L20" s="206">
        <v>8</v>
      </c>
      <c r="M20" s="205">
        <v>9</v>
      </c>
      <c r="N20" s="205">
        <v>10</v>
      </c>
      <c r="O20" s="205">
        <v>11</v>
      </c>
      <c r="P20" s="205">
        <v>12</v>
      </c>
      <c r="Q20" s="205">
        <v>13</v>
      </c>
      <c r="R20" s="660">
        <v>14</v>
      </c>
      <c r="S20" s="205">
        <v>15</v>
      </c>
      <c r="T20" s="205">
        <v>16</v>
      </c>
      <c r="U20" s="207">
        <v>17</v>
      </c>
      <c r="V20" s="274" t="s">
        <v>133</v>
      </c>
      <c r="W20" s="275" t="s">
        <v>134</v>
      </c>
      <c r="X20" s="364">
        <v>7</v>
      </c>
    </row>
    <row r="21" spans="1:256" s="583" customFormat="1" ht="16.5" customHeight="1" thickTop="1" thickBot="1">
      <c r="A21" s="729"/>
      <c r="B21" s="663"/>
      <c r="C21" s="650" t="s">
        <v>330</v>
      </c>
      <c r="D21" s="664"/>
      <c r="E21" s="664"/>
      <c r="F21" s="664"/>
      <c r="G21" s="664"/>
      <c r="H21" s="664"/>
      <c r="I21" s="664"/>
      <c r="J21" s="664"/>
      <c r="K21" s="664"/>
      <c r="L21" s="664"/>
      <c r="M21" s="664"/>
      <c r="N21" s="664"/>
      <c r="O21" s="664"/>
      <c r="P21" s="664"/>
      <c r="Q21" s="664"/>
      <c r="R21" s="664"/>
      <c r="S21" s="664"/>
      <c r="T21" s="664"/>
      <c r="U21" s="664"/>
      <c r="V21" s="664"/>
      <c r="W21" s="776"/>
      <c r="X21" s="666"/>
      <c r="Y21" s="666"/>
      <c r="Z21" s="666"/>
      <c r="AA21" s="666"/>
      <c r="AB21" s="666"/>
      <c r="AC21" s="666"/>
      <c r="AD21" s="666"/>
      <c r="AE21" s="666"/>
      <c r="AF21" s="582"/>
      <c r="AG21" s="582"/>
      <c r="AH21" s="582"/>
      <c r="AI21" s="582"/>
      <c r="AJ21" s="582"/>
      <c r="AK21" s="582"/>
      <c r="AL21" s="582"/>
      <c r="AM21" s="582"/>
      <c r="AN21" s="582"/>
      <c r="AO21" s="582"/>
      <c r="AP21" s="582"/>
      <c r="AQ21" s="582"/>
      <c r="AR21" s="582"/>
      <c r="AS21" s="582"/>
      <c r="AT21" s="582"/>
      <c r="AU21" s="582"/>
      <c r="AV21" s="582"/>
      <c r="AW21" s="582"/>
      <c r="AX21" s="582"/>
      <c r="AY21" s="582"/>
      <c r="AZ21" s="582"/>
      <c r="BA21" s="582"/>
      <c r="BB21" s="582"/>
      <c r="BC21" s="582"/>
      <c r="BD21" s="582"/>
      <c r="BE21" s="582"/>
      <c r="BF21" s="582"/>
      <c r="BG21" s="582"/>
      <c r="BH21" s="582"/>
      <c r="BI21" s="582"/>
      <c r="BJ21" s="582"/>
      <c r="BK21" s="582"/>
      <c r="BL21" s="582"/>
      <c r="BM21" s="582"/>
      <c r="BN21" s="582"/>
      <c r="BO21" s="582"/>
      <c r="BP21" s="582"/>
      <c r="BQ21" s="582"/>
      <c r="BR21" s="582"/>
      <c r="BS21" s="582"/>
      <c r="BT21" s="582"/>
      <c r="BU21" s="582"/>
      <c r="BV21" s="582"/>
      <c r="BW21" s="582"/>
      <c r="BX21" s="582"/>
      <c r="BY21" s="582"/>
      <c r="BZ21" s="582"/>
      <c r="CA21" s="582"/>
      <c r="CB21" s="582"/>
      <c r="CC21" s="582"/>
      <c r="CD21" s="582"/>
      <c r="CE21" s="582"/>
      <c r="CF21" s="582"/>
      <c r="CG21" s="582"/>
      <c r="CH21" s="582"/>
      <c r="CI21" s="582"/>
      <c r="CJ21" s="582"/>
      <c r="CK21" s="582"/>
      <c r="CL21" s="582"/>
      <c r="CM21" s="582"/>
      <c r="CN21" s="582"/>
      <c r="CO21" s="582"/>
      <c r="CP21" s="582"/>
      <c r="CQ21" s="582"/>
      <c r="CR21" s="582"/>
      <c r="CS21" s="582"/>
      <c r="CT21" s="582"/>
      <c r="CU21" s="582"/>
      <c r="CV21" s="582"/>
      <c r="CW21" s="582"/>
      <c r="CX21" s="582"/>
      <c r="CY21" s="582"/>
      <c r="CZ21" s="582"/>
      <c r="DA21" s="582"/>
      <c r="DB21" s="582"/>
      <c r="DC21" s="582"/>
      <c r="DD21" s="582"/>
      <c r="DE21" s="582"/>
      <c r="DF21" s="582"/>
      <c r="DG21" s="582"/>
      <c r="DH21" s="582"/>
      <c r="DI21" s="582"/>
      <c r="DJ21" s="582"/>
      <c r="DK21" s="582"/>
      <c r="DL21" s="582"/>
      <c r="DM21" s="582"/>
      <c r="DN21" s="582"/>
      <c r="DO21" s="582"/>
      <c r="DP21" s="582"/>
      <c r="DQ21" s="582"/>
      <c r="DR21" s="582"/>
      <c r="DS21" s="582"/>
      <c r="DT21" s="582"/>
      <c r="DU21" s="582"/>
      <c r="DV21" s="582"/>
      <c r="DW21" s="582"/>
      <c r="DX21" s="582"/>
      <c r="DY21" s="582"/>
      <c r="DZ21" s="582"/>
      <c r="EA21" s="582"/>
      <c r="EB21" s="582"/>
      <c r="EC21" s="582"/>
      <c r="ED21" s="582"/>
      <c r="EE21" s="582"/>
      <c r="EF21" s="582"/>
      <c r="EG21" s="582"/>
      <c r="EH21" s="582"/>
      <c r="EI21" s="582"/>
      <c r="EJ21" s="582"/>
      <c r="EK21" s="582"/>
      <c r="EL21" s="582"/>
      <c r="EM21" s="582"/>
      <c r="EN21" s="582"/>
      <c r="EO21" s="582"/>
      <c r="EP21" s="582"/>
      <c r="EQ21" s="582"/>
      <c r="ER21" s="582"/>
      <c r="ES21" s="582"/>
      <c r="ET21" s="582"/>
      <c r="EU21" s="582"/>
      <c r="EV21" s="582"/>
      <c r="EW21" s="582"/>
      <c r="EX21" s="582"/>
      <c r="EY21" s="582"/>
      <c r="EZ21" s="582"/>
      <c r="FA21" s="582"/>
      <c r="FB21" s="582"/>
      <c r="FC21" s="582"/>
      <c r="FD21" s="582"/>
      <c r="FE21" s="582"/>
      <c r="FF21" s="582"/>
      <c r="FG21" s="582"/>
      <c r="FH21" s="582"/>
      <c r="FI21" s="582"/>
      <c r="FJ21" s="582"/>
      <c r="FK21" s="582"/>
      <c r="FL21" s="582"/>
      <c r="FM21" s="582"/>
      <c r="FN21" s="582"/>
      <c r="FO21" s="582"/>
      <c r="FP21" s="582"/>
      <c r="FQ21" s="582"/>
      <c r="FR21" s="582"/>
      <c r="FS21" s="582"/>
      <c r="FT21" s="582"/>
      <c r="FU21" s="582"/>
      <c r="FV21" s="582"/>
      <c r="FW21" s="582"/>
      <c r="FX21" s="582"/>
      <c r="FY21" s="582"/>
      <c r="FZ21" s="582"/>
      <c r="GA21" s="582"/>
      <c r="GB21" s="582"/>
      <c r="GC21" s="582"/>
      <c r="GD21" s="582"/>
      <c r="GE21" s="582"/>
      <c r="GF21" s="582"/>
      <c r="GG21" s="582"/>
      <c r="GH21" s="582"/>
      <c r="GI21" s="582"/>
      <c r="GJ21" s="582"/>
      <c r="GK21" s="582"/>
      <c r="GL21" s="582"/>
      <c r="GM21" s="582"/>
      <c r="GN21" s="582"/>
      <c r="GO21" s="582"/>
      <c r="GP21" s="582"/>
      <c r="GQ21" s="582"/>
      <c r="GR21" s="582"/>
      <c r="GS21" s="582"/>
      <c r="GT21" s="582"/>
      <c r="GU21" s="582"/>
      <c r="GV21" s="582"/>
      <c r="GW21" s="582"/>
      <c r="GX21" s="582"/>
      <c r="GY21" s="582"/>
      <c r="GZ21" s="582"/>
      <c r="HA21" s="582"/>
      <c r="HB21" s="582"/>
      <c r="HC21" s="582"/>
      <c r="HD21" s="582"/>
      <c r="HE21" s="582"/>
      <c r="HF21" s="582"/>
      <c r="HG21" s="582"/>
      <c r="HH21" s="582"/>
      <c r="HI21" s="582"/>
      <c r="HJ21" s="582"/>
      <c r="HK21" s="582"/>
      <c r="HL21" s="582"/>
      <c r="HM21" s="582"/>
      <c r="HN21" s="582"/>
      <c r="HO21" s="582"/>
      <c r="HP21" s="582"/>
      <c r="HQ21" s="582"/>
      <c r="HR21" s="582"/>
      <c r="HS21" s="582"/>
      <c r="HT21" s="582"/>
      <c r="HU21" s="582"/>
      <c r="HV21" s="582"/>
      <c r="HW21" s="582"/>
      <c r="HX21" s="582"/>
      <c r="HY21" s="582"/>
      <c r="HZ21" s="582"/>
      <c r="IA21" s="582"/>
      <c r="IB21" s="582"/>
      <c r="IC21" s="582"/>
      <c r="ID21" s="582"/>
      <c r="IE21" s="582"/>
      <c r="IF21" s="582"/>
      <c r="IG21" s="582"/>
      <c r="IH21" s="582"/>
      <c r="II21" s="582"/>
      <c r="IJ21" s="582"/>
      <c r="IK21" s="582"/>
      <c r="IL21" s="582"/>
      <c r="IM21" s="582"/>
      <c r="IN21" s="582"/>
      <c r="IO21" s="582"/>
      <c r="IP21" s="582"/>
      <c r="IQ21" s="582"/>
      <c r="IR21" s="582"/>
      <c r="IS21" s="582"/>
      <c r="IT21" s="582"/>
      <c r="IU21" s="582"/>
      <c r="IV21" s="582"/>
    </row>
    <row r="22" spans="1:256" s="569" customFormat="1" ht="15.75" thickTop="1">
      <c r="A22" s="710"/>
      <c r="B22" s="588"/>
      <c r="C22" s="587" t="s">
        <v>335</v>
      </c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04"/>
      <c r="P22" s="604"/>
      <c r="Q22" s="604"/>
      <c r="R22" s="604"/>
      <c r="S22" s="604"/>
      <c r="T22" s="604"/>
      <c r="U22" s="604"/>
      <c r="V22" s="604"/>
      <c r="W22" s="777"/>
      <c r="X22" s="422">
        <f>SUM(W23:W52)/$W$133</f>
        <v>0.5095087938201136</v>
      </c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568"/>
      <c r="AM22" s="568"/>
      <c r="AN22" s="568"/>
      <c r="AO22" s="568"/>
      <c r="AP22" s="568"/>
      <c r="AQ22" s="568"/>
      <c r="AR22" s="568"/>
      <c r="AS22" s="568"/>
      <c r="AT22" s="568"/>
      <c r="AU22" s="568"/>
      <c r="AV22" s="568"/>
      <c r="AW22" s="568"/>
      <c r="AX22" s="568"/>
      <c r="AY22" s="568"/>
      <c r="AZ22" s="568"/>
      <c r="BA22" s="568"/>
      <c r="BB22" s="568"/>
      <c r="BC22" s="568"/>
      <c r="BD22" s="568"/>
      <c r="BE22" s="568"/>
      <c r="BF22" s="568"/>
      <c r="BG22" s="568"/>
      <c r="BH22" s="568"/>
      <c r="BI22" s="568"/>
      <c r="BJ22" s="568"/>
      <c r="BK22" s="568"/>
      <c r="BL22" s="568"/>
      <c r="BM22" s="568"/>
      <c r="BN22" s="568"/>
      <c r="BO22" s="568"/>
      <c r="BP22" s="568"/>
      <c r="BQ22" s="568"/>
      <c r="BR22" s="568"/>
      <c r="BS22" s="568"/>
      <c r="BT22" s="568"/>
      <c r="BU22" s="568"/>
      <c r="BV22" s="568"/>
      <c r="BW22" s="568"/>
      <c r="BX22" s="568"/>
      <c r="BY22" s="568"/>
      <c r="BZ22" s="568"/>
      <c r="CA22" s="568"/>
      <c r="CB22" s="568"/>
      <c r="CC22" s="568"/>
      <c r="CD22" s="568"/>
      <c r="CE22" s="568"/>
      <c r="CF22" s="568"/>
      <c r="CG22" s="568"/>
      <c r="CH22" s="568"/>
      <c r="CI22" s="568"/>
      <c r="CJ22" s="568"/>
      <c r="CK22" s="568"/>
      <c r="CL22" s="568"/>
      <c r="CM22" s="568"/>
      <c r="CN22" s="568"/>
      <c r="CO22" s="568"/>
      <c r="CP22" s="568"/>
      <c r="CQ22" s="568"/>
      <c r="CR22" s="568"/>
      <c r="CS22" s="568"/>
      <c r="CT22" s="568"/>
      <c r="CU22" s="568"/>
      <c r="CV22" s="568"/>
      <c r="CW22" s="568"/>
      <c r="CX22" s="568"/>
      <c r="CY22" s="568"/>
      <c r="CZ22" s="568"/>
      <c r="DA22" s="568"/>
      <c r="DB22" s="568"/>
      <c r="DC22" s="568"/>
      <c r="DD22" s="568"/>
      <c r="DE22" s="568"/>
      <c r="DF22" s="568"/>
      <c r="DG22" s="568"/>
      <c r="DH22" s="568"/>
      <c r="DI22" s="568"/>
      <c r="DJ22" s="568"/>
      <c r="DK22" s="568"/>
      <c r="DL22" s="568"/>
      <c r="DM22" s="568"/>
      <c r="DN22" s="568"/>
      <c r="DO22" s="568"/>
      <c r="DP22" s="568"/>
      <c r="DQ22" s="568"/>
      <c r="DR22" s="568"/>
      <c r="DS22" s="568"/>
      <c r="DT22" s="568"/>
      <c r="DU22" s="568"/>
      <c r="DV22" s="568"/>
      <c r="DW22" s="568"/>
      <c r="DX22" s="568"/>
      <c r="DY22" s="568"/>
      <c r="DZ22" s="568"/>
      <c r="EA22" s="568"/>
      <c r="EB22" s="568"/>
      <c r="EC22" s="568"/>
      <c r="ED22" s="568"/>
      <c r="EE22" s="568"/>
      <c r="EF22" s="568"/>
      <c r="EG22" s="568"/>
      <c r="EH22" s="568"/>
      <c r="EI22" s="568"/>
      <c r="EJ22" s="568"/>
      <c r="EK22" s="568"/>
      <c r="EL22" s="568"/>
      <c r="EM22" s="568"/>
      <c r="EN22" s="568"/>
      <c r="EO22" s="568"/>
      <c r="EP22" s="568"/>
      <c r="EQ22" s="568"/>
      <c r="ER22" s="568"/>
      <c r="ES22" s="568"/>
      <c r="ET22" s="568"/>
      <c r="EU22" s="568"/>
      <c r="EV22" s="568"/>
      <c r="EW22" s="568"/>
      <c r="EX22" s="568"/>
      <c r="EY22" s="568"/>
      <c r="EZ22" s="568"/>
      <c r="FA22" s="568"/>
      <c r="FB22" s="568"/>
      <c r="FC22" s="568"/>
      <c r="FD22" s="568"/>
      <c r="FE22" s="568"/>
      <c r="FF22" s="568"/>
      <c r="FG22" s="568"/>
      <c r="FH22" s="568"/>
      <c r="FI22" s="568"/>
      <c r="FJ22" s="568"/>
      <c r="FK22" s="568"/>
      <c r="FL22" s="568"/>
      <c r="FM22" s="568"/>
      <c r="FN22" s="568"/>
      <c r="FO22" s="568"/>
      <c r="FP22" s="568"/>
      <c r="FQ22" s="568"/>
      <c r="FR22" s="568"/>
      <c r="FS22" s="568"/>
      <c r="FT22" s="568"/>
      <c r="FU22" s="568"/>
      <c r="FV22" s="568"/>
      <c r="FW22" s="568"/>
      <c r="FX22" s="568"/>
      <c r="FY22" s="568"/>
      <c r="FZ22" s="568"/>
      <c r="GA22" s="568"/>
      <c r="GB22" s="568"/>
      <c r="GC22" s="568"/>
      <c r="GD22" s="568"/>
      <c r="GE22" s="568"/>
      <c r="GF22" s="568"/>
      <c r="GG22" s="568"/>
      <c r="GH22" s="568"/>
      <c r="GI22" s="568"/>
      <c r="GJ22" s="568"/>
      <c r="GK22" s="568"/>
      <c r="GL22" s="568"/>
      <c r="GM22" s="568"/>
      <c r="GN22" s="568"/>
      <c r="GO22" s="568"/>
      <c r="GP22" s="568"/>
      <c r="GQ22" s="568"/>
      <c r="GR22" s="568"/>
      <c r="GS22" s="568"/>
      <c r="GT22" s="568"/>
      <c r="GU22" s="568"/>
      <c r="GV22" s="568"/>
      <c r="GW22" s="568"/>
      <c r="GX22" s="568"/>
      <c r="GY22" s="568"/>
      <c r="GZ22" s="568"/>
      <c r="HA22" s="568"/>
      <c r="HB22" s="568"/>
      <c r="HC22" s="568"/>
      <c r="HD22" s="568"/>
      <c r="HE22" s="568"/>
      <c r="HF22" s="568"/>
      <c r="HG22" s="568"/>
      <c r="HH22" s="568"/>
      <c r="HI22" s="568"/>
      <c r="HJ22" s="568"/>
      <c r="HK22" s="568"/>
      <c r="HL22" s="568"/>
      <c r="HM22" s="568"/>
      <c r="HN22" s="568"/>
      <c r="HO22" s="568"/>
      <c r="HP22" s="568"/>
      <c r="HQ22" s="568"/>
      <c r="HR22" s="568"/>
      <c r="HS22" s="568"/>
      <c r="HT22" s="568"/>
    </row>
    <row r="23" spans="1:256" s="245" customFormat="1" ht="12.75" customHeight="1">
      <c r="A23" s="817">
        <f>+A21+1</f>
        <v>1</v>
      </c>
      <c r="B23" s="830" t="s">
        <v>327</v>
      </c>
      <c r="C23" s="879" t="s">
        <v>344</v>
      </c>
      <c r="D23" s="811" t="s">
        <v>180</v>
      </c>
      <c r="E23" s="811">
        <v>490.35</v>
      </c>
      <c r="F23" s="816">
        <f>0.001*10.6</f>
        <v>1.06E-2</v>
      </c>
      <c r="G23" s="816"/>
      <c r="H23" s="816"/>
      <c r="I23" s="816">
        <f>0.001*224.4</f>
        <v>0.22440000000000002</v>
      </c>
      <c r="J23" s="816"/>
      <c r="K23" s="816"/>
      <c r="L23" s="616"/>
      <c r="M23" s="511"/>
      <c r="N23" s="511"/>
      <c r="O23" s="511"/>
      <c r="P23" s="391"/>
      <c r="Q23" s="392"/>
      <c r="R23" s="805">
        <f>F24+I24</f>
        <v>0.74797076400000007</v>
      </c>
      <c r="S23" s="805">
        <f>R23+R24</f>
        <v>0.74797076400000007</v>
      </c>
      <c r="T23" s="805">
        <f>E23*S23</f>
        <v>366.76746412740005</v>
      </c>
      <c r="U23" s="850"/>
      <c r="V23" s="276">
        <f t="shared" ref="V23:V24" si="0">+$V$14*S23</f>
        <v>0.99325818432729285</v>
      </c>
      <c r="W23" s="277">
        <f t="shared" ref="W23:W24" si="1">+V23*E23</f>
        <v>487.04415068488805</v>
      </c>
    </row>
    <row r="24" spans="1:256" s="245" customFormat="1" ht="12.75" customHeight="1">
      <c r="A24" s="898"/>
      <c r="B24" s="831"/>
      <c r="C24" s="880"/>
      <c r="D24" s="812"/>
      <c r="E24" s="886"/>
      <c r="F24" s="816">
        <f>F23*$J$13/1000</f>
        <v>2.4772200000000001E-2</v>
      </c>
      <c r="G24" s="816"/>
      <c r="H24" s="816"/>
      <c r="I24" s="816">
        <f>I23*$Q$13/1000</f>
        <v>0.72319856400000004</v>
      </c>
      <c r="J24" s="816"/>
      <c r="K24" s="816"/>
      <c r="L24" s="617"/>
      <c r="M24" s="512"/>
      <c r="N24" s="512"/>
      <c r="O24" s="512"/>
      <c r="P24" s="394"/>
      <c r="Q24" s="395"/>
      <c r="R24" s="887"/>
      <c r="S24" s="806"/>
      <c r="T24" s="806"/>
      <c r="U24" s="888"/>
      <c r="V24" s="276">
        <f t="shared" si="0"/>
        <v>0</v>
      </c>
      <c r="W24" s="277">
        <f t="shared" si="1"/>
        <v>0</v>
      </c>
      <c r="X24" s="422"/>
    </row>
    <row r="25" spans="1:256" s="245" customFormat="1" ht="12.75" customHeight="1">
      <c r="A25" s="899">
        <f>+A23+1</f>
        <v>2</v>
      </c>
      <c r="B25" s="830" t="s">
        <v>241</v>
      </c>
      <c r="C25" s="879" t="s">
        <v>461</v>
      </c>
      <c r="D25" s="811" t="s">
        <v>180</v>
      </c>
      <c r="E25" s="811">
        <v>462.33</v>
      </c>
      <c r="F25" s="816">
        <f>0.001*14.3</f>
        <v>1.43E-2</v>
      </c>
      <c r="G25" s="816"/>
      <c r="H25" s="816"/>
      <c r="I25" s="816">
        <f>0.001*302.7</f>
        <v>0.30269999999999997</v>
      </c>
      <c r="J25" s="816"/>
      <c r="K25" s="816"/>
      <c r="L25" s="616"/>
      <c r="M25" s="511"/>
      <c r="N25" s="511"/>
      <c r="O25" s="511"/>
      <c r="P25" s="391"/>
      <c r="Q25" s="392"/>
      <c r="R25" s="805">
        <f>F26+I26</f>
        <v>1.0089636869999998</v>
      </c>
      <c r="S25" s="805">
        <f>R25+R26</f>
        <v>1.0089636869999998</v>
      </c>
      <c r="T25" s="805">
        <f>E25*S25</f>
        <v>466.47418141070989</v>
      </c>
      <c r="U25" s="850"/>
      <c r="V25" s="276">
        <f t="shared" ref="V25:V87" si="2">+$V$14*S25</f>
        <v>1.3398403895393307</v>
      </c>
      <c r="W25" s="277">
        <f t="shared" ref="W25:W87" si="3">+V25*E25</f>
        <v>619.44840729571877</v>
      </c>
      <c r="X25" s="422"/>
    </row>
    <row r="26" spans="1:256" s="245" customFormat="1" ht="12.75" customHeight="1">
      <c r="A26" s="900"/>
      <c r="B26" s="831"/>
      <c r="C26" s="880"/>
      <c r="D26" s="812"/>
      <c r="E26" s="886"/>
      <c r="F26" s="816">
        <f>F25*$J$13/1000</f>
        <v>3.34191E-2</v>
      </c>
      <c r="G26" s="816"/>
      <c r="H26" s="816"/>
      <c r="I26" s="816">
        <f>I25*$Q$13/1000</f>
        <v>0.97554458699999991</v>
      </c>
      <c r="J26" s="816"/>
      <c r="K26" s="816"/>
      <c r="L26" s="617"/>
      <c r="M26" s="512"/>
      <c r="N26" s="512"/>
      <c r="O26" s="512"/>
      <c r="P26" s="394"/>
      <c r="Q26" s="395"/>
      <c r="R26" s="806"/>
      <c r="S26" s="806"/>
      <c r="T26" s="806"/>
      <c r="U26" s="888"/>
      <c r="V26" s="276">
        <f t="shared" si="2"/>
        <v>0</v>
      </c>
      <c r="W26" s="277">
        <f t="shared" si="3"/>
        <v>0</v>
      </c>
      <c r="X26" s="422"/>
    </row>
    <row r="27" spans="1:256" s="245" customFormat="1" ht="15" customHeight="1">
      <c r="A27" s="817">
        <f t="shared" ref="A27" si="4">+A25+1</f>
        <v>3</v>
      </c>
      <c r="B27" s="830" t="s">
        <v>355</v>
      </c>
      <c r="C27" s="832" t="s">
        <v>356</v>
      </c>
      <c r="D27" s="811" t="s">
        <v>180</v>
      </c>
      <c r="E27" s="811">
        <v>325.73</v>
      </c>
      <c r="F27" s="816"/>
      <c r="G27" s="816"/>
      <c r="H27" s="816"/>
      <c r="I27" s="816"/>
      <c r="J27" s="816"/>
      <c r="K27" s="816"/>
      <c r="L27" s="616"/>
      <c r="M27" s="511"/>
      <c r="N27" s="511"/>
      <c r="O27" s="511"/>
      <c r="P27" s="391"/>
      <c r="Q27" s="392"/>
      <c r="R27" s="805">
        <f>F28+I28</f>
        <v>5.96</v>
      </c>
      <c r="S27" s="805">
        <f>R27+R28</f>
        <v>5.96</v>
      </c>
      <c r="T27" s="805">
        <f>E27*S27</f>
        <v>1941.3508000000002</v>
      </c>
      <c r="U27" s="850"/>
      <c r="V27" s="276">
        <f t="shared" si="2"/>
        <v>7.9145055709566003</v>
      </c>
      <c r="W27" s="277">
        <f t="shared" si="3"/>
        <v>2577.9918996276938</v>
      </c>
      <c r="X27" s="422"/>
      <c r="Y27" s="594"/>
      <c r="Z27" s="595"/>
    </row>
    <row r="28" spans="1:256" s="245" customFormat="1" ht="24.75" customHeight="1">
      <c r="A28" s="898"/>
      <c r="B28" s="831"/>
      <c r="C28" s="833"/>
      <c r="D28" s="812"/>
      <c r="E28" s="886"/>
      <c r="F28" s="816">
        <f>F27*$J$13/1000</f>
        <v>0</v>
      </c>
      <c r="G28" s="816"/>
      <c r="H28" s="816"/>
      <c r="I28" s="816">
        <v>5.96</v>
      </c>
      <c r="J28" s="816"/>
      <c r="K28" s="816"/>
      <c r="L28" s="617"/>
      <c r="M28" s="512"/>
      <c r="N28" s="512"/>
      <c r="O28" s="512"/>
      <c r="P28" s="394"/>
      <c r="Q28" s="395"/>
      <c r="R28" s="887"/>
      <c r="S28" s="806"/>
      <c r="T28" s="806"/>
      <c r="U28" s="888"/>
      <c r="V28" s="276">
        <f t="shared" si="2"/>
        <v>0</v>
      </c>
      <c r="W28" s="277">
        <f t="shared" si="3"/>
        <v>0</v>
      </c>
      <c r="X28" s="422"/>
      <c r="Y28" s="594"/>
      <c r="Z28" s="595"/>
    </row>
    <row r="29" spans="1:256" s="245" customFormat="1" ht="15" customHeight="1">
      <c r="A29" s="817">
        <f>+A27+1</f>
        <v>4</v>
      </c>
      <c r="B29" s="830" t="s">
        <v>355</v>
      </c>
      <c r="C29" s="832" t="s">
        <v>361</v>
      </c>
      <c r="D29" s="811" t="s">
        <v>180</v>
      </c>
      <c r="E29" s="811">
        <v>203.14</v>
      </c>
      <c r="F29" s="816"/>
      <c r="G29" s="816"/>
      <c r="H29" s="816"/>
      <c r="I29" s="816"/>
      <c r="J29" s="816"/>
      <c r="K29" s="816"/>
      <c r="L29" s="616"/>
      <c r="M29" s="511"/>
      <c r="N29" s="511"/>
      <c r="O29" s="511"/>
      <c r="P29" s="391"/>
      <c r="Q29" s="392"/>
      <c r="R29" s="805">
        <f>F30+I30</f>
        <v>7.15</v>
      </c>
      <c r="S29" s="805">
        <f>R29+R30</f>
        <v>7.15</v>
      </c>
      <c r="T29" s="805">
        <f>E29*S29</f>
        <v>1452.451</v>
      </c>
      <c r="U29" s="850"/>
      <c r="V29" s="276">
        <f t="shared" si="2"/>
        <v>9.4947508107952512</v>
      </c>
      <c r="W29" s="277">
        <f t="shared" si="3"/>
        <v>1928.7636797049472</v>
      </c>
      <c r="X29" s="422"/>
    </row>
    <row r="30" spans="1:256" s="245" customFormat="1" ht="25.5" customHeight="1">
      <c r="A30" s="898"/>
      <c r="B30" s="831"/>
      <c r="C30" s="833"/>
      <c r="D30" s="812"/>
      <c r="E30" s="812"/>
      <c r="F30" s="816">
        <f>F29*$J$13/1000</f>
        <v>0</v>
      </c>
      <c r="G30" s="816"/>
      <c r="H30" s="816"/>
      <c r="I30" s="816">
        <v>7.15</v>
      </c>
      <c r="J30" s="816"/>
      <c r="K30" s="816"/>
      <c r="L30" s="617"/>
      <c r="M30" s="512"/>
      <c r="N30" s="512"/>
      <c r="O30" s="512"/>
      <c r="P30" s="394"/>
      <c r="Q30" s="395"/>
      <c r="R30" s="806"/>
      <c r="S30" s="806"/>
      <c r="T30" s="806"/>
      <c r="U30" s="888"/>
      <c r="V30" s="276">
        <f t="shared" si="2"/>
        <v>0</v>
      </c>
      <c r="W30" s="277">
        <f t="shared" si="3"/>
        <v>0</v>
      </c>
      <c r="X30" s="422"/>
    </row>
    <row r="31" spans="1:256" s="245" customFormat="1" ht="12.75" customHeight="1">
      <c r="A31" s="817">
        <f>+A29+1</f>
        <v>5</v>
      </c>
      <c r="B31" s="830" t="s">
        <v>370</v>
      </c>
      <c r="C31" s="832" t="s">
        <v>371</v>
      </c>
      <c r="D31" s="811" t="s">
        <v>180</v>
      </c>
      <c r="E31" s="811">
        <f>+E29+E27</f>
        <v>528.87</v>
      </c>
      <c r="F31" s="816">
        <f>0.001*16.8</f>
        <v>1.6800000000000002E-2</v>
      </c>
      <c r="G31" s="816"/>
      <c r="H31" s="816"/>
      <c r="I31" s="816">
        <f>0.001*355.2</f>
        <v>0.35520000000000002</v>
      </c>
      <c r="J31" s="816"/>
      <c r="K31" s="816"/>
      <c r="L31" s="616"/>
      <c r="M31" s="511"/>
      <c r="N31" s="511"/>
      <c r="O31" s="511"/>
      <c r="P31" s="391"/>
      <c r="Q31" s="392"/>
      <c r="R31" s="805">
        <f>F32+I32</f>
        <v>1.184003712</v>
      </c>
      <c r="S31" s="805">
        <f>R31+R32</f>
        <v>1.184003712</v>
      </c>
      <c r="T31" s="805">
        <f>E31*S31</f>
        <v>626.18404316544002</v>
      </c>
      <c r="U31" s="850"/>
      <c r="V31" s="276">
        <f t="shared" si="2"/>
        <v>1.5722825460834386</v>
      </c>
      <c r="W31" s="277">
        <f t="shared" si="3"/>
        <v>831.53307014714824</v>
      </c>
      <c r="X31" s="422"/>
    </row>
    <row r="32" spans="1:256" s="245" customFormat="1" ht="12.75" customHeight="1">
      <c r="A32" s="898"/>
      <c r="B32" s="831"/>
      <c r="C32" s="833"/>
      <c r="D32" s="812"/>
      <c r="E32" s="886"/>
      <c r="F32" s="816">
        <f>F31*$J$13/1000</f>
        <v>3.9261600000000008E-2</v>
      </c>
      <c r="G32" s="816"/>
      <c r="H32" s="816"/>
      <c r="I32" s="816">
        <f>I31*$Q$13/1000</f>
        <v>1.1447421120000001</v>
      </c>
      <c r="J32" s="816"/>
      <c r="K32" s="816"/>
      <c r="L32" s="617"/>
      <c r="M32" s="512"/>
      <c r="N32" s="512"/>
      <c r="O32" s="512"/>
      <c r="P32" s="394"/>
      <c r="Q32" s="395"/>
      <c r="R32" s="887"/>
      <c r="S32" s="806"/>
      <c r="T32" s="806"/>
      <c r="U32" s="888"/>
      <c r="V32" s="276">
        <f t="shared" si="2"/>
        <v>0</v>
      </c>
      <c r="W32" s="277">
        <f t="shared" si="3"/>
        <v>0</v>
      </c>
      <c r="X32" s="422"/>
    </row>
    <row r="33" spans="1:49" s="245" customFormat="1" ht="12.75" customHeight="1">
      <c r="A33" s="817">
        <f t="shared" ref="A33" si="5">+A31+1</f>
        <v>6</v>
      </c>
      <c r="B33" s="830" t="s">
        <v>211</v>
      </c>
      <c r="C33" s="879" t="s">
        <v>363</v>
      </c>
      <c r="D33" s="811" t="s">
        <v>180</v>
      </c>
      <c r="E33" s="811">
        <v>45.5</v>
      </c>
      <c r="F33" s="816">
        <f>0.01*194</f>
        <v>1.94</v>
      </c>
      <c r="G33" s="816"/>
      <c r="H33" s="816"/>
      <c r="I33" s="885">
        <v>0</v>
      </c>
      <c r="J33" s="885"/>
      <c r="K33" s="885"/>
      <c r="L33" s="616"/>
      <c r="M33" s="511"/>
      <c r="N33" s="511"/>
      <c r="O33" s="511"/>
      <c r="P33" s="391"/>
      <c r="Q33" s="392"/>
      <c r="R33" s="805">
        <f>F34+I34</f>
        <v>4.5337800000000001</v>
      </c>
      <c r="S33" s="805">
        <f>R33+R34</f>
        <v>4.5337800000000001</v>
      </c>
      <c r="T33" s="805">
        <f>E33*S33</f>
        <v>206.28699</v>
      </c>
      <c r="U33" s="850"/>
      <c r="V33" s="276">
        <f t="shared" si="2"/>
        <v>6.0205750113240972</v>
      </c>
      <c r="W33" s="277">
        <f t="shared" si="3"/>
        <v>273.93616301524645</v>
      </c>
      <c r="X33" s="422"/>
    </row>
    <row r="34" spans="1:49" s="245" customFormat="1" ht="17.25" customHeight="1">
      <c r="A34" s="898"/>
      <c r="B34" s="831"/>
      <c r="C34" s="880"/>
      <c r="D34" s="812"/>
      <c r="E34" s="812"/>
      <c r="F34" s="816">
        <f>F33*$J$13/1000</f>
        <v>4.5337800000000001</v>
      </c>
      <c r="G34" s="816"/>
      <c r="H34" s="816"/>
      <c r="I34" s="885">
        <f>I33*$Q$13/1000</f>
        <v>0</v>
      </c>
      <c r="J34" s="885"/>
      <c r="K34" s="885"/>
      <c r="L34" s="617"/>
      <c r="M34" s="512"/>
      <c r="N34" s="512"/>
      <c r="O34" s="512"/>
      <c r="P34" s="394"/>
      <c r="Q34" s="395"/>
      <c r="R34" s="806"/>
      <c r="S34" s="806"/>
      <c r="T34" s="806"/>
      <c r="U34" s="888"/>
      <c r="V34" s="276">
        <f t="shared" si="2"/>
        <v>0</v>
      </c>
      <c r="W34" s="277">
        <f t="shared" si="3"/>
        <v>0</v>
      </c>
      <c r="X34" s="422"/>
    </row>
    <row r="35" spans="1:49" s="245" customFormat="1" ht="12.75" customHeight="1">
      <c r="A35" s="817">
        <f t="shared" ref="A35" si="6">+A33+1</f>
        <v>7</v>
      </c>
      <c r="B35" s="830" t="s">
        <v>243</v>
      </c>
      <c r="C35" s="879" t="s">
        <v>345</v>
      </c>
      <c r="D35" s="811" t="s">
        <v>180</v>
      </c>
      <c r="E35" s="811">
        <v>42.9</v>
      </c>
      <c r="F35" s="816">
        <f>0.01*474</f>
        <v>4.74</v>
      </c>
      <c r="G35" s="816"/>
      <c r="H35" s="816"/>
      <c r="I35" s="885">
        <v>0</v>
      </c>
      <c r="J35" s="885"/>
      <c r="K35" s="885"/>
      <c r="L35" s="616"/>
      <c r="M35" s="511"/>
      <c r="N35" s="511"/>
      <c r="O35" s="511"/>
      <c r="P35" s="391"/>
      <c r="Q35" s="392"/>
      <c r="R35" s="805">
        <f>F36+I36</f>
        <v>11.077380000000002</v>
      </c>
      <c r="S35" s="805">
        <f>R35+R36</f>
        <v>11.077380000000002</v>
      </c>
      <c r="T35" s="805">
        <f>E35*S35</f>
        <v>475.21960200000007</v>
      </c>
      <c r="U35" s="850"/>
      <c r="V35" s="276">
        <f t="shared" si="2"/>
        <v>14.710064718389805</v>
      </c>
      <c r="W35" s="277">
        <f t="shared" si="3"/>
        <v>631.06177641892259</v>
      </c>
      <c r="X35" s="422"/>
    </row>
    <row r="36" spans="1:49" s="245" customFormat="1" ht="12.75" customHeight="1">
      <c r="A36" s="898"/>
      <c r="B36" s="831"/>
      <c r="C36" s="880"/>
      <c r="D36" s="812"/>
      <c r="E36" s="886"/>
      <c r="F36" s="816">
        <f>F35*$J$13/1000</f>
        <v>11.077380000000002</v>
      </c>
      <c r="G36" s="816"/>
      <c r="H36" s="816"/>
      <c r="I36" s="885">
        <f>I35*$Q$13/1000</f>
        <v>0</v>
      </c>
      <c r="J36" s="885"/>
      <c r="K36" s="885"/>
      <c r="L36" s="617"/>
      <c r="M36" s="512"/>
      <c r="N36" s="512"/>
      <c r="O36" s="512"/>
      <c r="P36" s="394"/>
      <c r="Q36" s="395"/>
      <c r="R36" s="806"/>
      <c r="S36" s="806"/>
      <c r="T36" s="806"/>
      <c r="U36" s="888"/>
      <c r="V36" s="276">
        <f t="shared" si="2"/>
        <v>0</v>
      </c>
      <c r="W36" s="277">
        <f t="shared" si="3"/>
        <v>0</v>
      </c>
      <c r="X36" s="422"/>
    </row>
    <row r="37" spans="1:49" s="245" customFormat="1" ht="15" customHeight="1">
      <c r="A37" s="817">
        <f t="shared" ref="A37" si="7">+A35+1</f>
        <v>8</v>
      </c>
      <c r="B37" s="830" t="s">
        <v>347</v>
      </c>
      <c r="C37" s="832" t="s">
        <v>348</v>
      </c>
      <c r="D37" s="811" t="s">
        <v>180</v>
      </c>
      <c r="E37" s="811">
        <v>30.22</v>
      </c>
      <c r="F37" s="816">
        <f>0.01*395</f>
        <v>3.95</v>
      </c>
      <c r="G37" s="816"/>
      <c r="H37" s="816"/>
      <c r="I37" s="816">
        <f>0.01*484</f>
        <v>4.84</v>
      </c>
      <c r="J37" s="816"/>
      <c r="K37" s="816"/>
      <c r="L37" s="616"/>
      <c r="M37" s="511"/>
      <c r="N37" s="511"/>
      <c r="O37" s="511"/>
      <c r="P37" s="391"/>
      <c r="Q37" s="392"/>
      <c r="R37" s="805">
        <f>F38+I38</f>
        <v>24.829550399999999</v>
      </c>
      <c r="S37" s="805">
        <f>R37+R38</f>
        <v>24.829550399999999</v>
      </c>
      <c r="T37" s="805">
        <f>E37*S37</f>
        <v>750.34901308799988</v>
      </c>
      <c r="U37" s="850"/>
      <c r="V37" s="276">
        <f t="shared" si="2"/>
        <v>32.972083047843569</v>
      </c>
      <c r="W37" s="277">
        <f t="shared" si="3"/>
        <v>996.41634970583266</v>
      </c>
      <c r="X37" s="422"/>
    </row>
    <row r="38" spans="1:49" s="245" customFormat="1" ht="24.75" customHeight="1">
      <c r="A38" s="898"/>
      <c r="B38" s="831"/>
      <c r="C38" s="833"/>
      <c r="D38" s="812"/>
      <c r="E38" s="886"/>
      <c r="F38" s="816">
        <f>F37*$J$13/1000</f>
        <v>9.2311499999999995</v>
      </c>
      <c r="G38" s="816"/>
      <c r="H38" s="816"/>
      <c r="I38" s="816">
        <f>I37*$Q$13/1000</f>
        <v>15.598400399999999</v>
      </c>
      <c r="J38" s="816"/>
      <c r="K38" s="816"/>
      <c r="L38" s="617"/>
      <c r="M38" s="512"/>
      <c r="N38" s="512"/>
      <c r="O38" s="512"/>
      <c r="P38" s="394"/>
      <c r="Q38" s="395"/>
      <c r="R38" s="887"/>
      <c r="S38" s="806"/>
      <c r="T38" s="806"/>
      <c r="U38" s="888"/>
      <c r="V38" s="276">
        <f t="shared" si="2"/>
        <v>0</v>
      </c>
      <c r="W38" s="277">
        <f t="shared" si="3"/>
        <v>0</v>
      </c>
      <c r="X38" s="422"/>
    </row>
    <row r="39" spans="1:49" s="245" customFormat="1" ht="15" customHeight="1">
      <c r="A39" s="817">
        <f t="shared" ref="A39" si="8">+A37+1</f>
        <v>9</v>
      </c>
      <c r="B39" s="830" t="s">
        <v>350</v>
      </c>
      <c r="C39" s="832" t="s">
        <v>351</v>
      </c>
      <c r="D39" s="811" t="s">
        <v>180</v>
      </c>
      <c r="E39" s="811">
        <v>18.850000000000001</v>
      </c>
      <c r="F39" s="816">
        <f>0.01*488</f>
        <v>4.88</v>
      </c>
      <c r="G39" s="816"/>
      <c r="H39" s="816"/>
      <c r="I39" s="816">
        <f>0.01*622</f>
        <v>6.22</v>
      </c>
      <c r="J39" s="816"/>
      <c r="K39" s="816"/>
      <c r="L39" s="616"/>
      <c r="M39" s="511"/>
      <c r="N39" s="511"/>
      <c r="O39" s="511"/>
      <c r="P39" s="391"/>
      <c r="Q39" s="392"/>
      <c r="R39" s="805">
        <f>F40+I40</f>
        <v>31.450438200000001</v>
      </c>
      <c r="S39" s="805">
        <f>R39+R40</f>
        <v>31.450438200000001</v>
      </c>
      <c r="T39" s="805">
        <f>E39*S39</f>
        <v>592.8407600700001</v>
      </c>
      <c r="U39" s="850"/>
      <c r="V39" s="276">
        <f t="shared" si="2"/>
        <v>41.764206097806422</v>
      </c>
      <c r="W39" s="277">
        <f t="shared" si="3"/>
        <v>787.25528494365108</v>
      </c>
      <c r="X39" s="422"/>
    </row>
    <row r="40" spans="1:49" s="245" customFormat="1" ht="25.5" customHeight="1">
      <c r="A40" s="898"/>
      <c r="B40" s="831"/>
      <c r="C40" s="833"/>
      <c r="D40" s="812"/>
      <c r="E40" s="812"/>
      <c r="F40" s="816">
        <f>F39*$J$13/1000</f>
        <v>11.40456</v>
      </c>
      <c r="G40" s="816"/>
      <c r="H40" s="816"/>
      <c r="I40" s="816">
        <f>I39*$Q$13/1000</f>
        <v>20.045878200000001</v>
      </c>
      <c r="J40" s="816"/>
      <c r="K40" s="816"/>
      <c r="L40" s="617"/>
      <c r="M40" s="512"/>
      <c r="N40" s="512"/>
      <c r="O40" s="512"/>
      <c r="P40" s="394"/>
      <c r="Q40" s="395"/>
      <c r="R40" s="806"/>
      <c r="S40" s="806"/>
      <c r="T40" s="806"/>
      <c r="U40" s="888"/>
      <c r="V40" s="276">
        <f t="shared" si="2"/>
        <v>0</v>
      </c>
      <c r="W40" s="277">
        <f t="shared" si="3"/>
        <v>0</v>
      </c>
      <c r="X40" s="422"/>
    </row>
    <row r="41" spans="1:49" s="466" customFormat="1" ht="21.75" customHeight="1">
      <c r="A41" s="817">
        <f t="shared" ref="A41" si="9">+A39+1</f>
        <v>10</v>
      </c>
      <c r="B41" s="830" t="s">
        <v>230</v>
      </c>
      <c r="C41" s="879" t="s">
        <v>354</v>
      </c>
      <c r="D41" s="811" t="s">
        <v>180</v>
      </c>
      <c r="E41" s="964">
        <v>277.49</v>
      </c>
      <c r="F41" s="839">
        <v>0.89</v>
      </c>
      <c r="G41" s="840"/>
      <c r="H41" s="841"/>
      <c r="I41" s="839"/>
      <c r="J41" s="840"/>
      <c r="K41" s="841"/>
      <c r="L41" s="717"/>
      <c r="M41" s="687"/>
      <c r="N41" s="478"/>
      <c r="O41" s="478"/>
      <c r="P41" s="514"/>
      <c r="Q41" s="515"/>
      <c r="R41" s="479">
        <f>F42+I42</f>
        <v>2.0799300000000001</v>
      </c>
      <c r="S41" s="805">
        <f>R41+R42</f>
        <v>4.6154368200000011</v>
      </c>
      <c r="T41" s="805">
        <f>E41*S41</f>
        <v>1280.7375631818004</v>
      </c>
      <c r="U41" s="870">
        <f>E41*Q42</f>
        <v>703.57778748180033</v>
      </c>
      <c r="V41" s="276">
        <f t="shared" si="2"/>
        <v>6.1290101383033937</v>
      </c>
      <c r="W41" s="277">
        <f t="shared" si="3"/>
        <v>1700.7390232778089</v>
      </c>
      <c r="X41" s="422"/>
      <c r="AA41" s="596"/>
      <c r="AB41" s="159"/>
      <c r="AC41" s="209"/>
      <c r="AD41" s="209"/>
      <c r="AE41" s="209"/>
      <c r="AF41" s="209"/>
      <c r="AG41" s="209"/>
      <c r="AH41" s="209"/>
      <c r="AI41" s="209"/>
      <c r="AJ41" s="209"/>
      <c r="AK41" s="244"/>
      <c r="AL41" s="244"/>
      <c r="AM41" s="244"/>
      <c r="AN41" s="244"/>
    </row>
    <row r="42" spans="1:49" s="466" customFormat="1" ht="21.75" customHeight="1">
      <c r="A42" s="898"/>
      <c r="B42" s="831"/>
      <c r="C42" s="880"/>
      <c r="D42" s="812"/>
      <c r="E42" s="965"/>
      <c r="F42" s="839">
        <f>F41*$J$13/1000</f>
        <v>2.0799300000000001</v>
      </c>
      <c r="G42" s="840"/>
      <c r="H42" s="841"/>
      <c r="I42" s="895">
        <f>I41*$Q$13/1000</f>
        <v>0</v>
      </c>
      <c r="J42" s="896"/>
      <c r="K42" s="897"/>
      <c r="L42" s="516" t="s">
        <v>231</v>
      </c>
      <c r="M42" s="474" t="s">
        <v>180</v>
      </c>
      <c r="N42" s="475">
        <v>1.1000000000000001</v>
      </c>
      <c r="O42" s="517">
        <f>E41*N42</f>
        <v>305.23900000000003</v>
      </c>
      <c r="P42" s="467">
        <v>2</v>
      </c>
      <c r="Q42" s="248">
        <f>N42*P42*$N$11</f>
        <v>2.535506820000001</v>
      </c>
      <c r="R42" s="479">
        <f>SUM(Q42:Q42)</f>
        <v>2.535506820000001</v>
      </c>
      <c r="S42" s="806"/>
      <c r="T42" s="806"/>
      <c r="U42" s="871"/>
      <c r="V42" s="276">
        <f t="shared" si="2"/>
        <v>0</v>
      </c>
      <c r="W42" s="277">
        <f t="shared" si="3"/>
        <v>0</v>
      </c>
      <c r="X42" s="422"/>
      <c r="AA42" s="596"/>
      <c r="AB42" s="159"/>
      <c r="AC42" s="209"/>
      <c r="AD42" s="209"/>
      <c r="AE42" s="209"/>
      <c r="AF42" s="209"/>
      <c r="AG42" s="209"/>
      <c r="AH42" s="209"/>
      <c r="AI42" s="209"/>
      <c r="AJ42" s="209"/>
      <c r="AK42" s="244"/>
      <c r="AL42" s="244"/>
      <c r="AM42" s="244"/>
      <c r="AN42" s="244"/>
    </row>
    <row r="43" spans="1:49" s="245" customFormat="1" ht="12.75" customHeight="1">
      <c r="A43" s="817">
        <f>+A41+1</f>
        <v>11</v>
      </c>
      <c r="B43" s="830" t="s">
        <v>336</v>
      </c>
      <c r="C43" s="879" t="s">
        <v>366</v>
      </c>
      <c r="D43" s="811" t="s">
        <v>180</v>
      </c>
      <c r="E43" s="811">
        <v>1341.53</v>
      </c>
      <c r="F43" s="816"/>
      <c r="G43" s="816"/>
      <c r="H43" s="816"/>
      <c r="I43" s="816">
        <f>0.001*25</f>
        <v>2.5000000000000001E-2</v>
      </c>
      <c r="J43" s="816"/>
      <c r="K43" s="816"/>
      <c r="L43" s="619"/>
      <c r="M43" s="397"/>
      <c r="N43" s="398"/>
      <c r="O43" s="398"/>
      <c r="P43" s="399"/>
      <c r="Q43" s="400"/>
      <c r="R43" s="805">
        <f>F44+I44</f>
        <v>8.0570249999999996E-2</v>
      </c>
      <c r="S43" s="805">
        <f>R43+R44</f>
        <v>8.0570249999999996E-2</v>
      </c>
      <c r="T43" s="805">
        <f>E43*S43</f>
        <v>108.0874074825</v>
      </c>
      <c r="U43" s="807"/>
      <c r="V43" s="276">
        <f t="shared" si="2"/>
        <v>0.10699223028160504</v>
      </c>
      <c r="W43" s="277">
        <f t="shared" si="3"/>
        <v>143.5332866896816</v>
      </c>
      <c r="X43" s="422"/>
    </row>
    <row r="44" spans="1:49" s="245" customFormat="1" ht="12.75" customHeight="1">
      <c r="A44" s="818"/>
      <c r="B44" s="831"/>
      <c r="C44" s="880"/>
      <c r="D44" s="812"/>
      <c r="E44" s="812"/>
      <c r="F44" s="816"/>
      <c r="G44" s="816"/>
      <c r="H44" s="816"/>
      <c r="I44" s="816">
        <f>I43*$Q$13/1000</f>
        <v>8.0570249999999996E-2</v>
      </c>
      <c r="J44" s="816"/>
      <c r="K44" s="816"/>
      <c r="L44" s="617"/>
      <c r="M44" s="404"/>
      <c r="N44" s="405"/>
      <c r="O44" s="405"/>
      <c r="P44" s="394"/>
      <c r="Q44" s="406"/>
      <c r="R44" s="806"/>
      <c r="S44" s="806"/>
      <c r="T44" s="806"/>
      <c r="U44" s="808"/>
      <c r="V44" s="276">
        <f t="shared" si="2"/>
        <v>0</v>
      </c>
      <c r="W44" s="277">
        <f t="shared" si="3"/>
        <v>0</v>
      </c>
      <c r="X44" s="422"/>
    </row>
    <row r="45" spans="1:49" s="466" customFormat="1" ht="14.25" customHeight="1">
      <c r="A45" s="817">
        <f>+A43+1</f>
        <v>12</v>
      </c>
      <c r="B45" s="830" t="s">
        <v>367</v>
      </c>
      <c r="C45" s="866" t="s">
        <v>368</v>
      </c>
      <c r="D45" s="811" t="s">
        <v>180</v>
      </c>
      <c r="E45" s="868">
        <f>+E43*0.3</f>
        <v>402.459</v>
      </c>
      <c r="F45" s="839"/>
      <c r="G45" s="840"/>
      <c r="H45" s="841"/>
      <c r="I45" s="816">
        <f>4.76/100</f>
        <v>4.7599999999999996E-2</v>
      </c>
      <c r="J45" s="816"/>
      <c r="K45" s="816"/>
      <c r="L45" s="616"/>
      <c r="M45" s="397"/>
      <c r="N45" s="398"/>
      <c r="O45" s="398"/>
      <c r="P45" s="399"/>
      <c r="Q45" s="669"/>
      <c r="R45" s="805">
        <f>F46+I46</f>
        <v>0.153405756</v>
      </c>
      <c r="S45" s="805">
        <f>R45+R46</f>
        <v>0.153405756</v>
      </c>
      <c r="T45" s="805">
        <f>E45*S45</f>
        <v>61.739527154004001</v>
      </c>
      <c r="U45" s="870"/>
      <c r="V45" s="276">
        <f t="shared" si="2"/>
        <v>0.20371320645617599</v>
      </c>
      <c r="W45" s="277">
        <f t="shared" si="3"/>
        <v>81.986213357146141</v>
      </c>
      <c r="X45" s="422"/>
      <c r="Y45" s="597"/>
      <c r="Z45" s="598"/>
      <c r="AA45" s="599"/>
      <c r="AB45" s="566"/>
      <c r="AC45" s="566"/>
      <c r="AD45" s="566"/>
      <c r="AE45" s="566"/>
    </row>
    <row r="46" spans="1:49" s="466" customFormat="1" ht="12">
      <c r="A46" s="818"/>
      <c r="B46" s="831"/>
      <c r="C46" s="867"/>
      <c r="D46" s="812"/>
      <c r="E46" s="869"/>
      <c r="F46" s="876"/>
      <c r="G46" s="877"/>
      <c r="H46" s="878"/>
      <c r="I46" s="839">
        <f>I45*$Q$13/1000</f>
        <v>0.153405756</v>
      </c>
      <c r="J46" s="840"/>
      <c r="K46" s="841"/>
      <c r="L46" s="617"/>
      <c r="M46" s="404"/>
      <c r="N46" s="405"/>
      <c r="O46" s="405"/>
      <c r="P46" s="394"/>
      <c r="Q46" s="670"/>
      <c r="R46" s="806"/>
      <c r="S46" s="806"/>
      <c r="T46" s="806"/>
      <c r="U46" s="871"/>
      <c r="V46" s="276">
        <f t="shared" si="2"/>
        <v>0</v>
      </c>
      <c r="W46" s="277">
        <f t="shared" si="3"/>
        <v>0</v>
      </c>
      <c r="X46" s="422"/>
      <c r="Y46" s="597"/>
      <c r="Z46" s="598"/>
    </row>
    <row r="47" spans="1:49" s="245" customFormat="1" ht="21.75" customHeight="1">
      <c r="A47" s="854">
        <f t="shared" ref="A47" si="10">+A45+1</f>
        <v>13</v>
      </c>
      <c r="B47" s="830" t="s">
        <v>373</v>
      </c>
      <c r="C47" s="832" t="s">
        <v>374</v>
      </c>
      <c r="D47" s="811" t="s">
        <v>180</v>
      </c>
      <c r="E47" s="811">
        <v>138.74</v>
      </c>
      <c r="F47" s="858"/>
      <c r="G47" s="858"/>
      <c r="H47" s="858"/>
      <c r="I47" s="859">
        <f>140/1000</f>
        <v>0.14000000000000001</v>
      </c>
      <c r="J47" s="860"/>
      <c r="K47" s="861"/>
      <c r="L47" s="616"/>
      <c r="M47" s="511"/>
      <c r="N47" s="511"/>
      <c r="O47" s="511"/>
      <c r="P47" s="391"/>
      <c r="Q47" s="392"/>
      <c r="R47" s="805">
        <f>F48+I48</f>
        <v>0.45119340000000008</v>
      </c>
      <c r="S47" s="805">
        <f>R47+R48</f>
        <v>0.45119340000000008</v>
      </c>
      <c r="T47" s="805">
        <f>E47*S47</f>
        <v>62.598572316000016</v>
      </c>
      <c r="U47" s="850"/>
      <c r="V47" s="276">
        <f t="shared" si="2"/>
        <v>0.5991564895769883</v>
      </c>
      <c r="W47" s="277">
        <f t="shared" si="3"/>
        <v>83.126971363911366</v>
      </c>
      <c r="X47" s="422"/>
      <c r="Y47" s="671"/>
      <c r="Z47" s="671"/>
      <c r="AA47" s="175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672"/>
      <c r="AP47" s="672"/>
      <c r="AQ47" s="672"/>
      <c r="AR47" s="672"/>
      <c r="AS47" s="672"/>
      <c r="AT47" s="672"/>
      <c r="AU47" s="672"/>
      <c r="AV47" s="672"/>
      <c r="AW47" s="672"/>
    </row>
    <row r="48" spans="1:49" s="245" customFormat="1" ht="21.75" customHeight="1">
      <c r="A48" s="855"/>
      <c r="B48" s="856"/>
      <c r="C48" s="857"/>
      <c r="D48" s="812"/>
      <c r="E48" s="812"/>
      <c r="F48" s="862">
        <f>F47*$J$13/1000</f>
        <v>0</v>
      </c>
      <c r="G48" s="862"/>
      <c r="H48" s="862"/>
      <c r="I48" s="863">
        <f>I47*$Q$13/1000</f>
        <v>0.45119340000000008</v>
      </c>
      <c r="J48" s="864"/>
      <c r="K48" s="865"/>
      <c r="L48" s="617"/>
      <c r="M48" s="512"/>
      <c r="N48" s="512"/>
      <c r="O48" s="512"/>
      <c r="P48" s="394"/>
      <c r="Q48" s="395"/>
      <c r="R48" s="806"/>
      <c r="S48" s="806"/>
      <c r="T48" s="806"/>
      <c r="U48" s="851"/>
      <c r="V48" s="276">
        <f t="shared" si="2"/>
        <v>0</v>
      </c>
      <c r="W48" s="277">
        <f t="shared" si="3"/>
        <v>0</v>
      </c>
      <c r="X48" s="422"/>
      <c r="Y48" s="671"/>
      <c r="Z48" s="671"/>
      <c r="AA48" s="175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673"/>
      <c r="AP48" s="673"/>
      <c r="AQ48" s="673"/>
      <c r="AR48" s="673"/>
      <c r="AS48" s="673"/>
      <c r="AT48" s="673"/>
      <c r="AU48" s="673"/>
      <c r="AV48" s="673"/>
      <c r="AW48" s="673"/>
    </row>
    <row r="49" spans="1:228" s="678" customFormat="1" ht="15" customHeight="1">
      <c r="A49" s="817">
        <f>+A47+1</f>
        <v>14</v>
      </c>
      <c r="B49" s="819" t="s">
        <v>358</v>
      </c>
      <c r="C49" s="821" t="s">
        <v>376</v>
      </c>
      <c r="D49" s="823" t="s">
        <v>180</v>
      </c>
      <c r="E49" s="825">
        <v>138.75</v>
      </c>
      <c r="F49" s="827">
        <f>0.001*21.2</f>
        <v>2.12E-2</v>
      </c>
      <c r="G49" s="828"/>
      <c r="H49" s="829"/>
      <c r="I49" s="827">
        <f>0.001*453.19</f>
        <v>0.45318999999999998</v>
      </c>
      <c r="J49" s="828"/>
      <c r="K49" s="829"/>
      <c r="L49" s="718"/>
      <c r="M49" s="674"/>
      <c r="N49" s="675"/>
      <c r="O49" s="675"/>
      <c r="P49" s="676"/>
      <c r="Q49" s="677"/>
      <c r="R49" s="825">
        <f>F50+I50</f>
        <v>1.5100896639000001</v>
      </c>
      <c r="S49" s="825">
        <f>R49+R50</f>
        <v>1.5100896639000001</v>
      </c>
      <c r="T49" s="825">
        <f>E49*S49</f>
        <v>209.52494086612501</v>
      </c>
      <c r="U49" s="842">
        <f>E49*Q50</f>
        <v>0</v>
      </c>
      <c r="V49" s="276">
        <f t="shared" si="2"/>
        <v>2.0053042042920355</v>
      </c>
      <c r="W49" s="277">
        <f t="shared" si="3"/>
        <v>278.23595834551992</v>
      </c>
      <c r="X49" s="422"/>
      <c r="Z49" s="679"/>
      <c r="AA49" s="175"/>
      <c r="AB49" s="159"/>
      <c r="AC49" s="158"/>
      <c r="AD49" s="158"/>
      <c r="AE49" s="158"/>
      <c r="AF49" s="209"/>
      <c r="AG49" s="209"/>
      <c r="AH49" s="209"/>
      <c r="AI49" s="209"/>
      <c r="AJ49" s="209"/>
      <c r="AK49" s="158"/>
      <c r="AL49" s="158"/>
      <c r="AM49" s="158"/>
      <c r="AN49" s="158"/>
      <c r="AO49" s="466"/>
      <c r="AP49" s="466"/>
      <c r="AQ49" s="466"/>
      <c r="AR49" s="466"/>
      <c r="AS49" s="466"/>
      <c r="AT49" s="466"/>
      <c r="AU49" s="466"/>
      <c r="AV49" s="466"/>
      <c r="AW49" s="466"/>
    </row>
    <row r="50" spans="1:228" s="678" customFormat="1">
      <c r="A50" s="818"/>
      <c r="B50" s="820"/>
      <c r="C50" s="822"/>
      <c r="D50" s="824"/>
      <c r="E50" s="826"/>
      <c r="F50" s="847">
        <f>F49*$J$13/1000</f>
        <v>4.9544400000000002E-2</v>
      </c>
      <c r="G50" s="848"/>
      <c r="H50" s="849"/>
      <c r="I50" s="827">
        <f>I49*$Q$13/1000</f>
        <v>1.4605452639000001</v>
      </c>
      <c r="J50" s="828"/>
      <c r="K50" s="829"/>
      <c r="L50" s="719"/>
      <c r="M50" s="680"/>
      <c r="N50" s="681"/>
      <c r="O50" s="681"/>
      <c r="P50" s="682"/>
      <c r="Q50" s="683"/>
      <c r="R50" s="826"/>
      <c r="S50" s="826"/>
      <c r="T50" s="826"/>
      <c r="U50" s="843"/>
      <c r="V50" s="276">
        <f t="shared" si="2"/>
        <v>0</v>
      </c>
      <c r="W50" s="277">
        <f t="shared" si="3"/>
        <v>0</v>
      </c>
      <c r="X50" s="422"/>
      <c r="Z50" s="679"/>
      <c r="AA50" s="175"/>
      <c r="AB50" s="159"/>
      <c r="AC50" s="158"/>
      <c r="AD50" s="158"/>
      <c r="AE50" s="158"/>
      <c r="AF50" s="209"/>
      <c r="AG50" s="209"/>
      <c r="AH50" s="209"/>
      <c r="AI50" s="209"/>
      <c r="AJ50" s="209"/>
      <c r="AK50" s="158"/>
      <c r="AL50" s="158"/>
      <c r="AM50" s="158"/>
      <c r="AN50" s="158"/>
      <c r="AO50" s="466"/>
      <c r="AP50" s="466"/>
      <c r="AQ50" s="466"/>
      <c r="AR50" s="466"/>
      <c r="AS50" s="466"/>
      <c r="AT50" s="466"/>
      <c r="AU50" s="466"/>
      <c r="AV50" s="466"/>
      <c r="AW50" s="466"/>
    </row>
    <row r="51" spans="1:228" s="245" customFormat="1" ht="12.75" customHeight="1">
      <c r="A51" s="817">
        <f t="shared" ref="A51" si="11">+A49+1</f>
        <v>15</v>
      </c>
      <c r="B51" s="830" t="s">
        <v>233</v>
      </c>
      <c r="C51" s="832" t="s">
        <v>378</v>
      </c>
      <c r="D51" s="811" t="s">
        <v>326</v>
      </c>
      <c r="E51" s="834">
        <f>E49*2.2</f>
        <v>305.25</v>
      </c>
      <c r="F51" s="836"/>
      <c r="G51" s="837"/>
      <c r="H51" s="838"/>
      <c r="I51" s="839">
        <v>0.5</v>
      </c>
      <c r="J51" s="840"/>
      <c r="K51" s="841"/>
      <c r="L51" s="619"/>
      <c r="M51" s="397"/>
      <c r="N51" s="398"/>
      <c r="O51" s="398"/>
      <c r="P51" s="391"/>
      <c r="Q51" s="712"/>
      <c r="R51" s="805">
        <f>+F52+I52</f>
        <v>1.611405</v>
      </c>
      <c r="S51" s="805">
        <f>R51+R52</f>
        <v>1.611405</v>
      </c>
      <c r="T51" s="805">
        <f>E51:E52*S51</f>
        <v>491.88137625000002</v>
      </c>
      <c r="U51" s="807"/>
      <c r="V51" s="276">
        <f t="shared" si="2"/>
        <v>2.139844605632101</v>
      </c>
      <c r="W51" s="277">
        <f t="shared" si="3"/>
        <v>653.18756586919881</v>
      </c>
      <c r="X51" s="422"/>
      <c r="Y51" s="684"/>
      <c r="Z51" s="685"/>
      <c r="AA51" s="158"/>
      <c r="AB51" s="158"/>
      <c r="AC51" s="209"/>
      <c r="AD51" s="209"/>
      <c r="AE51" s="209"/>
      <c r="AF51" s="209"/>
      <c r="AG51" s="209"/>
      <c r="AH51" s="209"/>
      <c r="AI51" s="209"/>
      <c r="AJ51" s="209"/>
      <c r="AK51" s="244"/>
      <c r="AL51" s="244"/>
      <c r="AM51" s="244"/>
      <c r="AN51" s="244"/>
    </row>
    <row r="52" spans="1:228" s="245" customFormat="1" ht="12.75" customHeight="1">
      <c r="A52" s="818"/>
      <c r="B52" s="831"/>
      <c r="C52" s="833"/>
      <c r="D52" s="812"/>
      <c r="E52" s="835"/>
      <c r="F52" s="813"/>
      <c r="G52" s="814"/>
      <c r="H52" s="815"/>
      <c r="I52" s="816">
        <f>I51*$Q$13/1000</f>
        <v>1.611405</v>
      </c>
      <c r="J52" s="816"/>
      <c r="K52" s="816"/>
      <c r="L52" s="617"/>
      <c r="M52" s="404"/>
      <c r="N52" s="405"/>
      <c r="O52" s="405"/>
      <c r="P52" s="394"/>
      <c r="Q52" s="567"/>
      <c r="R52" s="806"/>
      <c r="S52" s="806"/>
      <c r="T52" s="806"/>
      <c r="U52" s="808"/>
      <c r="V52" s="276">
        <f t="shared" si="2"/>
        <v>0</v>
      </c>
      <c r="W52" s="277">
        <f t="shared" si="3"/>
        <v>0</v>
      </c>
      <c r="X52" s="422"/>
      <c r="Y52" s="684"/>
      <c r="Z52" s="685"/>
      <c r="AA52" s="596"/>
      <c r="AB52" s="159"/>
      <c r="AC52" s="209"/>
      <c r="AD52" s="209"/>
      <c r="AE52" s="209"/>
      <c r="AF52" s="209"/>
      <c r="AG52" s="209"/>
      <c r="AH52" s="209"/>
      <c r="AI52" s="209"/>
      <c r="AJ52" s="209"/>
      <c r="AK52" s="244"/>
      <c r="AL52" s="244"/>
      <c r="AM52" s="244"/>
      <c r="AN52" s="244"/>
    </row>
    <row r="53" spans="1:228" s="590" customFormat="1" ht="17.25" customHeight="1">
      <c r="A53" s="711"/>
      <c r="B53" s="588"/>
      <c r="C53" s="587" t="s">
        <v>334</v>
      </c>
      <c r="D53" s="623"/>
      <c r="E53" s="640"/>
      <c r="F53" s="621"/>
      <c r="G53" s="621"/>
      <c r="H53" s="621"/>
      <c r="I53" s="640"/>
      <c r="J53" s="640"/>
      <c r="K53" s="640"/>
      <c r="L53" s="621"/>
      <c r="M53" s="640"/>
      <c r="N53" s="640"/>
      <c r="O53" s="640"/>
      <c r="P53" s="639"/>
      <c r="Q53" s="640"/>
      <c r="R53" s="640"/>
      <c r="S53" s="640"/>
      <c r="T53" s="648"/>
      <c r="U53" s="648"/>
      <c r="V53" s="276">
        <f t="shared" si="2"/>
        <v>0</v>
      </c>
      <c r="W53" s="277">
        <f t="shared" si="3"/>
        <v>0</v>
      </c>
      <c r="X53" s="422">
        <f>SUM(W54:W128)/$W$133</f>
        <v>0.49049120617988645</v>
      </c>
      <c r="Y53" s="585"/>
      <c r="Z53" s="585"/>
      <c r="AA53" s="585"/>
      <c r="AB53" s="585"/>
      <c r="AC53" s="585"/>
      <c r="AD53" s="585"/>
      <c r="AE53" s="585"/>
      <c r="AF53" s="585"/>
      <c r="AG53" s="585"/>
      <c r="AH53" s="585"/>
      <c r="AI53" s="585"/>
      <c r="AJ53" s="585"/>
      <c r="AK53" s="585"/>
      <c r="AL53" s="589"/>
      <c r="AM53" s="589"/>
      <c r="AN53" s="589"/>
      <c r="AO53" s="589"/>
      <c r="AP53" s="589"/>
      <c r="AQ53" s="589"/>
      <c r="AR53" s="589"/>
      <c r="AS53" s="589"/>
      <c r="AT53" s="589"/>
      <c r="AU53" s="589"/>
      <c r="AV53" s="589"/>
      <c r="AW53" s="589"/>
      <c r="AX53" s="589"/>
      <c r="AY53" s="589"/>
      <c r="AZ53" s="589"/>
      <c r="BA53" s="589"/>
      <c r="BB53" s="589"/>
      <c r="BC53" s="589"/>
      <c r="BD53" s="589"/>
      <c r="BE53" s="589"/>
      <c r="BF53" s="589"/>
      <c r="BG53" s="589"/>
      <c r="BH53" s="589"/>
      <c r="BI53" s="589"/>
      <c r="BJ53" s="589"/>
      <c r="BK53" s="589"/>
      <c r="BL53" s="589"/>
      <c r="BM53" s="589"/>
      <c r="BN53" s="589"/>
      <c r="BO53" s="589"/>
      <c r="BP53" s="589"/>
      <c r="BQ53" s="589"/>
      <c r="BR53" s="589"/>
      <c r="BS53" s="589"/>
      <c r="BT53" s="589"/>
      <c r="BU53" s="589"/>
      <c r="BV53" s="589"/>
      <c r="BW53" s="589"/>
      <c r="BX53" s="589"/>
      <c r="BY53" s="589"/>
      <c r="BZ53" s="589"/>
      <c r="CA53" s="589"/>
      <c r="CB53" s="589"/>
      <c r="CC53" s="589"/>
      <c r="CD53" s="589"/>
      <c r="CE53" s="589"/>
      <c r="CF53" s="589"/>
      <c r="CG53" s="589"/>
      <c r="CH53" s="589"/>
      <c r="CI53" s="589"/>
      <c r="CJ53" s="589"/>
      <c r="CK53" s="589"/>
      <c r="CL53" s="589"/>
      <c r="CM53" s="589"/>
      <c r="CN53" s="589"/>
      <c r="CO53" s="589"/>
      <c r="CP53" s="589"/>
      <c r="CQ53" s="589"/>
      <c r="CR53" s="589"/>
      <c r="CS53" s="589"/>
      <c r="CT53" s="589"/>
      <c r="CU53" s="589"/>
      <c r="CV53" s="589"/>
      <c r="CW53" s="589"/>
      <c r="CX53" s="589"/>
      <c r="CY53" s="589"/>
      <c r="CZ53" s="589"/>
      <c r="DA53" s="589"/>
      <c r="DB53" s="589"/>
      <c r="DC53" s="589"/>
      <c r="DD53" s="589"/>
      <c r="DE53" s="589"/>
      <c r="DF53" s="589"/>
      <c r="DG53" s="589"/>
      <c r="DH53" s="589"/>
      <c r="DI53" s="589"/>
      <c r="DJ53" s="589"/>
      <c r="DK53" s="589"/>
      <c r="DL53" s="589"/>
      <c r="DM53" s="589"/>
      <c r="DN53" s="589"/>
      <c r="DO53" s="589"/>
      <c r="DP53" s="589"/>
      <c r="DQ53" s="589"/>
      <c r="DR53" s="589"/>
      <c r="DS53" s="589"/>
      <c r="DT53" s="589"/>
      <c r="DU53" s="589"/>
      <c r="DV53" s="589"/>
      <c r="DW53" s="589"/>
      <c r="DX53" s="589"/>
      <c r="DY53" s="589"/>
      <c r="DZ53" s="589"/>
      <c r="EA53" s="589"/>
      <c r="EB53" s="589"/>
      <c r="EC53" s="589"/>
      <c r="ED53" s="589"/>
      <c r="EE53" s="589"/>
      <c r="EF53" s="589"/>
      <c r="EG53" s="589"/>
      <c r="EH53" s="589"/>
      <c r="EI53" s="589"/>
      <c r="EJ53" s="589"/>
      <c r="EK53" s="589"/>
      <c r="EL53" s="589"/>
      <c r="EM53" s="589"/>
      <c r="EN53" s="589"/>
      <c r="EO53" s="589"/>
      <c r="EP53" s="589"/>
      <c r="EQ53" s="589"/>
      <c r="ER53" s="589"/>
      <c r="ES53" s="589"/>
      <c r="ET53" s="589"/>
      <c r="EU53" s="589"/>
      <c r="EV53" s="589"/>
      <c r="EW53" s="589"/>
      <c r="EX53" s="589"/>
      <c r="EY53" s="589"/>
      <c r="EZ53" s="589"/>
      <c r="FA53" s="589"/>
      <c r="FB53" s="589"/>
      <c r="FC53" s="589"/>
      <c r="FD53" s="589"/>
      <c r="FE53" s="589"/>
      <c r="FF53" s="589"/>
      <c r="FG53" s="589"/>
      <c r="FH53" s="589"/>
      <c r="FI53" s="589"/>
      <c r="FJ53" s="589"/>
      <c r="FK53" s="589"/>
      <c r="FL53" s="589"/>
      <c r="FM53" s="589"/>
      <c r="FN53" s="589"/>
      <c r="FO53" s="589"/>
      <c r="FP53" s="589"/>
      <c r="FQ53" s="589"/>
      <c r="FR53" s="589"/>
      <c r="FS53" s="589"/>
      <c r="FT53" s="589"/>
      <c r="FU53" s="589"/>
      <c r="FV53" s="589"/>
      <c r="FW53" s="589"/>
      <c r="FX53" s="589"/>
      <c r="FY53" s="589"/>
      <c r="FZ53" s="589"/>
      <c r="GA53" s="589"/>
      <c r="GB53" s="589"/>
      <c r="GC53" s="589"/>
      <c r="GD53" s="589"/>
      <c r="GE53" s="589"/>
      <c r="GF53" s="589"/>
      <c r="GG53" s="589"/>
      <c r="GH53" s="589"/>
      <c r="GI53" s="589"/>
      <c r="GJ53" s="589"/>
      <c r="GK53" s="589"/>
      <c r="GL53" s="589"/>
      <c r="GM53" s="589"/>
      <c r="GN53" s="589"/>
      <c r="GO53" s="589"/>
      <c r="GP53" s="589"/>
      <c r="GQ53" s="589"/>
      <c r="GR53" s="589"/>
      <c r="GS53" s="589"/>
      <c r="GT53" s="589"/>
      <c r="GU53" s="589"/>
      <c r="GV53" s="589"/>
      <c r="GW53" s="589"/>
      <c r="GX53" s="589"/>
      <c r="GY53" s="589"/>
      <c r="GZ53" s="589"/>
      <c r="HA53" s="589"/>
      <c r="HB53" s="589"/>
      <c r="HC53" s="589"/>
      <c r="HD53" s="589"/>
      <c r="HE53" s="589"/>
      <c r="HF53" s="589"/>
      <c r="HG53" s="589"/>
      <c r="HH53" s="589"/>
      <c r="HI53" s="589"/>
      <c r="HJ53" s="589"/>
      <c r="HK53" s="589"/>
      <c r="HL53" s="589"/>
      <c r="HM53" s="589"/>
      <c r="HN53" s="589"/>
      <c r="HO53" s="589"/>
      <c r="HP53" s="589"/>
      <c r="HQ53" s="589"/>
      <c r="HR53" s="589"/>
      <c r="HS53" s="589"/>
      <c r="HT53" s="589"/>
    </row>
    <row r="54" spans="1:228" s="210" customFormat="1" ht="15" customHeight="1">
      <c r="A54" s="966">
        <f>+A51+1</f>
        <v>16</v>
      </c>
      <c r="B54" s="968" t="s">
        <v>380</v>
      </c>
      <c r="C54" s="970" t="s">
        <v>410</v>
      </c>
      <c r="D54" s="972" t="s">
        <v>116</v>
      </c>
      <c r="E54" s="974">
        <v>11</v>
      </c>
      <c r="F54" s="976">
        <f>0.6*0.28</f>
        <v>0.16800000000000001</v>
      </c>
      <c r="G54" s="977"/>
      <c r="H54" s="978"/>
      <c r="I54" s="976">
        <f>0.6*0.18</f>
        <v>0.108</v>
      </c>
      <c r="J54" s="977"/>
      <c r="K54" s="978"/>
      <c r="L54" s="616"/>
      <c r="M54" s="391"/>
      <c r="N54" s="391"/>
      <c r="O54" s="391"/>
      <c r="P54" s="391"/>
      <c r="Q54" s="392"/>
      <c r="R54" s="979">
        <f>F55+I55</f>
        <v>0.74067948000000006</v>
      </c>
      <c r="S54" s="979">
        <f>R54+R55</f>
        <v>0.74067948000000006</v>
      </c>
      <c r="T54" s="981">
        <f>E54*S54</f>
        <v>8.1474742800000008</v>
      </c>
      <c r="U54" s="983"/>
      <c r="V54" s="276">
        <f t="shared" si="2"/>
        <v>0.98357581724047627</v>
      </c>
      <c r="W54" s="277">
        <f t="shared" si="3"/>
        <v>10.819333989645239</v>
      </c>
      <c r="X54" s="422"/>
    </row>
    <row r="55" spans="1:228" s="210" customFormat="1" ht="12.75">
      <c r="A55" s="967"/>
      <c r="B55" s="969"/>
      <c r="C55" s="971"/>
      <c r="D55" s="973"/>
      <c r="E55" s="975"/>
      <c r="F55" s="985">
        <f>F54*$J$13/1000</f>
        <v>0.39261600000000002</v>
      </c>
      <c r="G55" s="986"/>
      <c r="H55" s="987"/>
      <c r="I55" s="985">
        <f>I54*$Q$13/1000</f>
        <v>0.34806347999999998</v>
      </c>
      <c r="J55" s="986"/>
      <c r="K55" s="987"/>
      <c r="L55" s="617"/>
      <c r="M55" s="394"/>
      <c r="N55" s="394"/>
      <c r="O55" s="394"/>
      <c r="P55" s="394"/>
      <c r="Q55" s="395"/>
      <c r="R55" s="980"/>
      <c r="S55" s="980"/>
      <c r="T55" s="982"/>
      <c r="U55" s="984"/>
      <c r="V55" s="276">
        <f t="shared" si="2"/>
        <v>0</v>
      </c>
      <c r="W55" s="277">
        <f t="shared" si="3"/>
        <v>0</v>
      </c>
      <c r="X55" s="422"/>
    </row>
    <row r="56" spans="1:228" s="210" customFormat="1" ht="21.75" customHeight="1">
      <c r="A56" s="966">
        <f>+A54+1</f>
        <v>17</v>
      </c>
      <c r="B56" s="968" t="s">
        <v>382</v>
      </c>
      <c r="C56" s="988" t="s">
        <v>386</v>
      </c>
      <c r="D56" s="972" t="s">
        <v>116</v>
      </c>
      <c r="E56" s="990">
        <v>11</v>
      </c>
      <c r="F56" s="976">
        <v>0.22</v>
      </c>
      <c r="G56" s="977"/>
      <c r="H56" s="978"/>
      <c r="I56" s="976">
        <v>0.04</v>
      </c>
      <c r="J56" s="977"/>
      <c r="K56" s="978"/>
      <c r="L56" s="618" t="s">
        <v>20</v>
      </c>
      <c r="M56" s="697"/>
      <c r="N56" s="699"/>
      <c r="O56" s="699"/>
      <c r="P56" s="271"/>
      <c r="Q56" s="698"/>
      <c r="R56" s="696">
        <f>F57+I57</f>
        <v>0.64305239999999997</v>
      </c>
      <c r="S56" s="979">
        <f>R56+R57</f>
        <v>5.1896771295000015</v>
      </c>
      <c r="T56" s="979">
        <f>E56*S56</f>
        <v>57.08644842450002</v>
      </c>
      <c r="U56" s="992">
        <f>E56*R57</f>
        <v>50.012872024500012</v>
      </c>
      <c r="V56" s="276">
        <f t="shared" si="2"/>
        <v>6.8915651934385602</v>
      </c>
      <c r="W56" s="277">
        <f t="shared" si="3"/>
        <v>75.80721712782416</v>
      </c>
      <c r="X56" s="422"/>
      <c r="Y56" s="707"/>
      <c r="Z56" s="700"/>
      <c r="AA56" s="401"/>
      <c r="AB56" s="401"/>
      <c r="AC56" s="401"/>
      <c r="AD56" s="401"/>
      <c r="AE56" s="401"/>
      <c r="AF56" s="401"/>
      <c r="AG56" s="401"/>
      <c r="AH56" s="401"/>
      <c r="AI56" s="401"/>
      <c r="AJ56" s="401"/>
      <c r="AK56" s="401"/>
      <c r="AL56" s="401"/>
      <c r="AM56" s="401"/>
    </row>
    <row r="57" spans="1:228" s="210" customFormat="1" ht="21.75" customHeight="1">
      <c r="A57" s="967"/>
      <c r="B57" s="969"/>
      <c r="C57" s="989"/>
      <c r="D57" s="973"/>
      <c r="E57" s="991"/>
      <c r="F57" s="976">
        <f>F56*$J$13/1000</f>
        <v>0.51414000000000004</v>
      </c>
      <c r="G57" s="977"/>
      <c r="H57" s="978"/>
      <c r="I57" s="976">
        <f>I56*$Q$13/1000</f>
        <v>0.12891239999999998</v>
      </c>
      <c r="J57" s="977"/>
      <c r="K57" s="978"/>
      <c r="L57" s="708" t="s">
        <v>385</v>
      </c>
      <c r="M57" s="246" t="s">
        <v>116</v>
      </c>
      <c r="N57" s="247">
        <v>1</v>
      </c>
      <c r="O57" s="250">
        <f>E56*N57</f>
        <v>11</v>
      </c>
      <c r="P57" s="243">
        <v>3.9449999999999998</v>
      </c>
      <c r="Q57" s="248">
        <f>N57*P57*$N$11</f>
        <v>4.5466247295000013</v>
      </c>
      <c r="R57" s="691">
        <f>SUM(Q57:Q57)</f>
        <v>4.5466247295000013</v>
      </c>
      <c r="S57" s="980"/>
      <c r="T57" s="980"/>
      <c r="U57" s="993"/>
      <c r="V57" s="276">
        <f t="shared" si="2"/>
        <v>0</v>
      </c>
      <c r="W57" s="277">
        <f t="shared" si="3"/>
        <v>0</v>
      </c>
      <c r="X57" s="422"/>
      <c r="Y57" s="701"/>
      <c r="Z57" s="700"/>
      <c r="AA57" s="401"/>
      <c r="AB57" s="401"/>
      <c r="AC57" s="401"/>
      <c r="AD57" s="401"/>
      <c r="AE57" s="401"/>
      <c r="AF57" s="401"/>
      <c r="AG57" s="401"/>
      <c r="AH57" s="401"/>
      <c r="AI57" s="401"/>
      <c r="AJ57" s="401"/>
      <c r="AK57" s="401"/>
      <c r="AL57" s="401"/>
      <c r="AM57" s="401"/>
    </row>
    <row r="58" spans="1:228" s="157" customFormat="1" ht="12.95" customHeight="1">
      <c r="A58" s="966">
        <f>+A56+1</f>
        <v>18</v>
      </c>
      <c r="B58" s="968" t="s">
        <v>383</v>
      </c>
      <c r="C58" s="970" t="s">
        <v>384</v>
      </c>
      <c r="D58" s="972" t="s">
        <v>116</v>
      </c>
      <c r="E58" s="990">
        <f>+E56</f>
        <v>11</v>
      </c>
      <c r="F58" s="999">
        <v>0.14000000000000001</v>
      </c>
      <c r="G58" s="1000"/>
      <c r="H58" s="1001"/>
      <c r="I58" s="999">
        <v>0.1</v>
      </c>
      <c r="J58" s="1000"/>
      <c r="K58" s="1001"/>
      <c r="L58" s="251"/>
      <c r="M58" s="702"/>
      <c r="N58" s="703"/>
      <c r="O58" s="373"/>
      <c r="P58" s="704"/>
      <c r="Q58" s="692"/>
      <c r="R58" s="696">
        <f>F59+I59</f>
        <v>0.64946100000000007</v>
      </c>
      <c r="S58" s="979">
        <f>R58+R59</f>
        <v>3.9822556345428013</v>
      </c>
      <c r="T58" s="979">
        <f>E58*S58</f>
        <v>43.804811979970815</v>
      </c>
      <c r="U58" s="992">
        <f>E58*R59</f>
        <v>36.660740979970811</v>
      </c>
      <c r="V58" s="276">
        <f t="shared" si="2"/>
        <v>5.2881853027789116</v>
      </c>
      <c r="W58" s="277">
        <f t="shared" si="3"/>
        <v>58.170038330568026</v>
      </c>
      <c r="X58" s="422"/>
      <c r="Y58" s="593"/>
      <c r="Z58" s="593"/>
      <c r="AA58" s="593"/>
      <c r="AB58" s="159"/>
      <c r="AC58" s="159"/>
      <c r="AD58" s="159"/>
      <c r="AE58" s="159"/>
      <c r="AF58" s="159"/>
      <c r="AG58" s="159"/>
      <c r="AH58" s="159"/>
      <c r="AI58" s="210"/>
      <c r="AJ58" s="210"/>
      <c r="AK58" s="210"/>
      <c r="AL58" s="210"/>
      <c r="AM58" s="210"/>
    </row>
    <row r="59" spans="1:228" s="157" customFormat="1" ht="15.75" customHeight="1">
      <c r="A59" s="994"/>
      <c r="B59" s="995"/>
      <c r="C59" s="996"/>
      <c r="D59" s="997"/>
      <c r="E59" s="998"/>
      <c r="F59" s="1017">
        <f>F58*$J$13/1000</f>
        <v>0.32718000000000003</v>
      </c>
      <c r="G59" s="1018"/>
      <c r="H59" s="1016"/>
      <c r="I59" s="1017">
        <f>I58*$Q$13/1000</f>
        <v>0.32228099999999998</v>
      </c>
      <c r="J59" s="1018"/>
      <c r="K59" s="1016"/>
      <c r="L59" s="252" t="s">
        <v>337</v>
      </c>
      <c r="M59" s="253" t="s">
        <v>124</v>
      </c>
      <c r="N59" s="409">
        <v>3.32</v>
      </c>
      <c r="O59" s="255">
        <f>E58*N59</f>
        <v>36.519999999999996</v>
      </c>
      <c r="P59" s="239">
        <v>0.8</v>
      </c>
      <c r="Q59" s="256">
        <f>N59*P59*$N$11</f>
        <v>3.0610482336000011</v>
      </c>
      <c r="R59" s="979">
        <f>SUM(Q59:Q61)</f>
        <v>3.3327946345428012</v>
      </c>
      <c r="S59" s="1002"/>
      <c r="T59" s="1002"/>
      <c r="U59" s="1019"/>
      <c r="V59" s="276">
        <f t="shared" si="2"/>
        <v>0</v>
      </c>
      <c r="W59" s="277">
        <f t="shared" si="3"/>
        <v>0</v>
      </c>
      <c r="X59" s="422"/>
      <c r="Y59" s="593"/>
      <c r="Z59" s="593"/>
      <c r="AA59" s="593"/>
      <c r="AB59" s="159"/>
      <c r="AC59" s="159"/>
      <c r="AD59" s="159"/>
      <c r="AE59" s="159"/>
      <c r="AF59" s="159"/>
      <c r="AG59" s="159"/>
      <c r="AH59" s="159"/>
      <c r="AI59" s="210"/>
      <c r="AJ59" s="210"/>
      <c r="AK59" s="210"/>
      <c r="AL59" s="210"/>
      <c r="AM59" s="210"/>
    </row>
    <row r="60" spans="1:228" s="157" customFormat="1" ht="12.95" customHeight="1">
      <c r="A60" s="994"/>
      <c r="B60" s="995"/>
      <c r="C60" s="996"/>
      <c r="D60" s="997"/>
      <c r="E60" s="998"/>
      <c r="F60" s="1021"/>
      <c r="G60" s="1022"/>
      <c r="H60" s="1023"/>
      <c r="I60" s="1021"/>
      <c r="J60" s="1022"/>
      <c r="K60" s="1023"/>
      <c r="L60" s="600" t="s">
        <v>338</v>
      </c>
      <c r="M60" s="263" t="s">
        <v>122</v>
      </c>
      <c r="N60" s="410">
        <v>0.82</v>
      </c>
      <c r="O60" s="264">
        <f>E58*N60</f>
        <v>9.02</v>
      </c>
      <c r="P60" s="240">
        <f>88.4/1000</f>
        <v>8.8400000000000006E-2</v>
      </c>
      <c r="Q60" s="265">
        <f>N60*P60*$N$11</f>
        <v>8.3542644712800027E-2</v>
      </c>
      <c r="R60" s="1002"/>
      <c r="S60" s="1002"/>
      <c r="T60" s="1002"/>
      <c r="U60" s="1019"/>
      <c r="V60" s="276">
        <f t="shared" si="2"/>
        <v>0</v>
      </c>
      <c r="W60" s="277">
        <f t="shared" si="3"/>
        <v>0</v>
      </c>
      <c r="X60" s="422"/>
      <c r="Y60" s="242"/>
    </row>
    <row r="61" spans="1:228" s="157" customFormat="1" ht="12.95" customHeight="1">
      <c r="A61" s="967"/>
      <c r="B61" s="969"/>
      <c r="C61" s="971"/>
      <c r="D61" s="973"/>
      <c r="E61" s="991"/>
      <c r="F61" s="985"/>
      <c r="G61" s="986"/>
      <c r="H61" s="987"/>
      <c r="I61" s="985"/>
      <c r="J61" s="986"/>
      <c r="K61" s="987"/>
      <c r="L61" s="266" t="s">
        <v>339</v>
      </c>
      <c r="M61" s="460" t="s">
        <v>122</v>
      </c>
      <c r="N61" s="411">
        <v>0.71</v>
      </c>
      <c r="O61" s="259">
        <f>E58*N61</f>
        <v>7.81</v>
      </c>
      <c r="P61" s="601">
        <v>0.23</v>
      </c>
      <c r="Q61" s="261">
        <f>N61*P61*$N$11</f>
        <v>0.18820375623000005</v>
      </c>
      <c r="R61" s="980"/>
      <c r="S61" s="980"/>
      <c r="T61" s="980"/>
      <c r="U61" s="993"/>
      <c r="V61" s="276">
        <f t="shared" si="2"/>
        <v>0</v>
      </c>
      <c r="W61" s="277">
        <f t="shared" si="3"/>
        <v>0</v>
      </c>
      <c r="X61" s="422"/>
      <c r="Y61" s="242"/>
    </row>
    <row r="62" spans="1:228" s="210" customFormat="1" ht="16.5" customHeight="1">
      <c r="A62" s="1024">
        <f>+A58+1</f>
        <v>19</v>
      </c>
      <c r="B62" s="968" t="s">
        <v>393</v>
      </c>
      <c r="C62" s="970" t="s">
        <v>392</v>
      </c>
      <c r="D62" s="972" t="s">
        <v>164</v>
      </c>
      <c r="E62" s="974">
        <v>2</v>
      </c>
      <c r="F62" s="1017">
        <f>1.31*0.6</f>
        <v>0.78600000000000003</v>
      </c>
      <c r="G62" s="1018"/>
      <c r="H62" s="1016"/>
      <c r="I62" s="1017">
        <f>0.09*0.6</f>
        <v>5.3999999999999999E-2</v>
      </c>
      <c r="J62" s="1018"/>
      <c r="K62" s="1016"/>
      <c r="L62" s="718"/>
      <c r="M62" s="674"/>
      <c r="N62" s="675"/>
      <c r="O62" s="675"/>
      <c r="P62" s="676"/>
      <c r="Q62" s="677"/>
      <c r="R62" s="696">
        <f>F63+I63</f>
        <v>2.0109137400000003</v>
      </c>
      <c r="S62" s="979">
        <f>R62+R63</f>
        <v>2.0109137400000003</v>
      </c>
      <c r="T62" s="979">
        <f>E62*S62</f>
        <v>4.0218274800000007</v>
      </c>
      <c r="U62" s="1016">
        <f>R63*E62</f>
        <v>0</v>
      </c>
      <c r="V62" s="276">
        <f t="shared" si="2"/>
        <v>2.6703671137488549</v>
      </c>
      <c r="W62" s="277">
        <f t="shared" si="3"/>
        <v>5.3407342274977099</v>
      </c>
      <c r="X62" s="422"/>
    </row>
    <row r="63" spans="1:228" s="210" customFormat="1" ht="16.5" customHeight="1">
      <c r="A63" s="1025"/>
      <c r="B63" s="969"/>
      <c r="C63" s="971"/>
      <c r="D63" s="973"/>
      <c r="E63" s="975"/>
      <c r="F63" s="976">
        <f>F62*$J$13/1000</f>
        <v>1.8368820000000001</v>
      </c>
      <c r="G63" s="977"/>
      <c r="H63" s="978"/>
      <c r="I63" s="976">
        <f>I62*$Q$13/1000</f>
        <v>0.17403173999999999</v>
      </c>
      <c r="J63" s="977"/>
      <c r="K63" s="978"/>
      <c r="L63" s="719"/>
      <c r="M63" s="680"/>
      <c r="N63" s="681"/>
      <c r="O63" s="681"/>
      <c r="P63" s="682"/>
      <c r="Q63" s="683"/>
      <c r="R63" s="696">
        <f>SUM(Q63:Q63)</f>
        <v>0</v>
      </c>
      <c r="S63" s="980"/>
      <c r="T63" s="980"/>
      <c r="U63" s="987"/>
      <c r="V63" s="276">
        <f t="shared" si="2"/>
        <v>0</v>
      </c>
      <c r="W63" s="277">
        <f t="shared" si="3"/>
        <v>0</v>
      </c>
      <c r="X63" s="422"/>
    </row>
    <row r="64" spans="1:228" s="535" customFormat="1" ht="16.5" customHeight="1">
      <c r="A64" s="1024">
        <f>+A62+1</f>
        <v>20</v>
      </c>
      <c r="B64" s="1027" t="s">
        <v>332</v>
      </c>
      <c r="C64" s="1014" t="s">
        <v>333</v>
      </c>
      <c r="D64" s="1003" t="s">
        <v>164</v>
      </c>
      <c r="E64" s="1005">
        <v>4</v>
      </c>
      <c r="F64" s="1007">
        <v>0.39</v>
      </c>
      <c r="G64" s="1008"/>
      <c r="H64" s="1009"/>
      <c r="I64" s="1007">
        <v>0.41</v>
      </c>
      <c r="J64" s="1008"/>
      <c r="K64" s="1009"/>
      <c r="L64" s="620"/>
      <c r="M64" s="530"/>
      <c r="N64" s="531"/>
      <c r="O64" s="531"/>
      <c r="P64" s="532"/>
      <c r="Q64" s="533"/>
      <c r="R64" s="534">
        <f>F65+I65</f>
        <v>2.2327821000000001</v>
      </c>
      <c r="S64" s="1010">
        <f>R64+R65</f>
        <v>12.797393850000004</v>
      </c>
      <c r="T64" s="1010">
        <f>E64*S64</f>
        <v>51.189575400000017</v>
      </c>
      <c r="U64" s="1012">
        <f>+R65*E64</f>
        <v>42.258447000000018</v>
      </c>
      <c r="V64" s="276">
        <f t="shared" si="2"/>
        <v>16.994135053615903</v>
      </c>
      <c r="W64" s="277">
        <f t="shared" si="3"/>
        <v>67.976540214463611</v>
      </c>
      <c r="X64" s="422"/>
    </row>
    <row r="65" spans="1:39" s="535" customFormat="1" ht="16.5" customHeight="1">
      <c r="A65" s="1025"/>
      <c r="B65" s="1028"/>
      <c r="C65" s="1015"/>
      <c r="D65" s="1004"/>
      <c r="E65" s="1006"/>
      <c r="F65" s="1007">
        <f>F64*$J$13/1000</f>
        <v>0.91143000000000007</v>
      </c>
      <c r="G65" s="1008"/>
      <c r="H65" s="1009"/>
      <c r="I65" s="1007">
        <f>I64*$Q$13/1000</f>
        <v>1.3213520999999999</v>
      </c>
      <c r="J65" s="1008"/>
      <c r="K65" s="1009"/>
      <c r="L65" s="536" t="s">
        <v>273</v>
      </c>
      <c r="M65" s="537" t="s">
        <v>164</v>
      </c>
      <c r="N65" s="538">
        <v>1</v>
      </c>
      <c r="O65" s="539">
        <f>E64*N65</f>
        <v>4</v>
      </c>
      <c r="P65" s="470">
        <f>11/1.2</f>
        <v>9.1666666666666679</v>
      </c>
      <c r="Q65" s="540">
        <f>N65*P65*$N$11</f>
        <v>10.564611750000005</v>
      </c>
      <c r="R65" s="541">
        <f>+Q65</f>
        <v>10.564611750000005</v>
      </c>
      <c r="S65" s="1011"/>
      <c r="T65" s="1011"/>
      <c r="U65" s="1013"/>
      <c r="V65" s="276">
        <f t="shared" si="2"/>
        <v>0</v>
      </c>
      <c r="W65" s="277">
        <f t="shared" si="3"/>
        <v>0</v>
      </c>
      <c r="X65" s="422"/>
    </row>
    <row r="66" spans="1:39" s="210" customFormat="1" ht="16.5" customHeight="1">
      <c r="A66" s="1024">
        <f>+A64+1</f>
        <v>21</v>
      </c>
      <c r="B66" s="968" t="s">
        <v>280</v>
      </c>
      <c r="C66" s="970" t="s">
        <v>395</v>
      </c>
      <c r="D66" s="972" t="s">
        <v>164</v>
      </c>
      <c r="E66" s="974">
        <v>2</v>
      </c>
      <c r="F66" s="1017">
        <v>1.31</v>
      </c>
      <c r="G66" s="1018"/>
      <c r="H66" s="1016"/>
      <c r="I66" s="1017">
        <v>0.09</v>
      </c>
      <c r="J66" s="1018"/>
      <c r="K66" s="1016"/>
      <c r="L66" s="420"/>
      <c r="M66" s="697"/>
      <c r="N66" s="542"/>
      <c r="O66" s="542"/>
      <c r="P66" s="469"/>
      <c r="Q66" s="695"/>
      <c r="R66" s="696">
        <f>F67+I67</f>
        <v>3.3515229000000004</v>
      </c>
      <c r="S66" s="979">
        <f>R66+R67</f>
        <v>79.224643650000033</v>
      </c>
      <c r="T66" s="979">
        <f>E66*S66</f>
        <v>158.44928730000007</v>
      </c>
      <c r="U66" s="1016">
        <f>R67*E66</f>
        <v>151.74624150000005</v>
      </c>
      <c r="V66" s="276">
        <f t="shared" si="2"/>
        <v>105.20534958472764</v>
      </c>
      <c r="W66" s="277">
        <f t="shared" si="3"/>
        <v>210.41069916945528</v>
      </c>
      <c r="X66" s="422"/>
    </row>
    <row r="67" spans="1:39" s="210" customFormat="1" ht="16.5" customHeight="1">
      <c r="A67" s="1025"/>
      <c r="B67" s="969"/>
      <c r="C67" s="971"/>
      <c r="D67" s="973"/>
      <c r="E67" s="975"/>
      <c r="F67" s="976">
        <f>F66*$J$13/1000</f>
        <v>3.0614700000000004</v>
      </c>
      <c r="G67" s="977"/>
      <c r="H67" s="978"/>
      <c r="I67" s="976">
        <f>I66*$Q$13/1000</f>
        <v>0.29005289999999995</v>
      </c>
      <c r="J67" s="977"/>
      <c r="K67" s="978"/>
      <c r="L67" s="592" t="s">
        <v>390</v>
      </c>
      <c r="M67" s="246" t="s">
        <v>164</v>
      </c>
      <c r="N67" s="544">
        <v>1</v>
      </c>
      <c r="O67" s="545">
        <f>E66*N67</f>
        <v>2</v>
      </c>
      <c r="P67" s="341">
        <f>79/1.2</f>
        <v>65.833333333333343</v>
      </c>
      <c r="Q67" s="248">
        <f>N67*P67*$N$11</f>
        <v>75.873120750000027</v>
      </c>
      <c r="R67" s="696">
        <f>SUM(Q67:Q67)</f>
        <v>75.873120750000027</v>
      </c>
      <c r="S67" s="980"/>
      <c r="T67" s="980"/>
      <c r="U67" s="987"/>
      <c r="V67" s="276">
        <f t="shared" si="2"/>
        <v>0</v>
      </c>
      <c r="W67" s="277">
        <f t="shared" si="3"/>
        <v>0</v>
      </c>
      <c r="X67" s="422"/>
    </row>
    <row r="68" spans="1:39" s="580" customFormat="1" ht="12.75" customHeight="1">
      <c r="A68" s="1026">
        <f>+A66+1</f>
        <v>22</v>
      </c>
      <c r="B68" s="1029" t="s">
        <v>396</v>
      </c>
      <c r="C68" s="970" t="s">
        <v>398</v>
      </c>
      <c r="D68" s="1030" t="s">
        <v>397</v>
      </c>
      <c r="E68" s="1031">
        <v>0.8</v>
      </c>
      <c r="F68" s="1032">
        <v>0.52</v>
      </c>
      <c r="G68" s="1032"/>
      <c r="H68" s="1032"/>
      <c r="I68" s="1033">
        <v>0.34</v>
      </c>
      <c r="J68" s="1033"/>
      <c r="K68" s="1033"/>
      <c r="L68" s="720"/>
      <c r="M68" s="697"/>
      <c r="N68" s="407"/>
      <c r="O68" s="699"/>
      <c r="P68" s="699"/>
      <c r="Q68" s="695"/>
      <c r="R68" s="705">
        <f>F69+I69</f>
        <v>2.3109954000000004</v>
      </c>
      <c r="S68" s="1032">
        <f>R68+R69</f>
        <v>37.820023436096179</v>
      </c>
      <c r="T68" s="1032">
        <f>E68*S68</f>
        <v>30.256018748876944</v>
      </c>
      <c r="U68" s="1032">
        <f>R69*E68</f>
        <v>28.407222428876942</v>
      </c>
      <c r="V68" s="276">
        <f t="shared" si="2"/>
        <v>50.222615130653089</v>
      </c>
      <c r="W68" s="277">
        <f t="shared" si="3"/>
        <v>40.178092104522477</v>
      </c>
      <c r="X68" s="422"/>
    </row>
    <row r="69" spans="1:39" s="580" customFormat="1" ht="12.75" customHeight="1">
      <c r="A69" s="1026"/>
      <c r="B69" s="1029"/>
      <c r="C69" s="996"/>
      <c r="D69" s="1030"/>
      <c r="E69" s="1031"/>
      <c r="F69" s="1032">
        <f>F68*J$13/1000</f>
        <v>1.2152400000000001</v>
      </c>
      <c r="G69" s="1032"/>
      <c r="H69" s="1032"/>
      <c r="I69" s="1032">
        <f>I68*$Q$13/1000</f>
        <v>1.0957554</v>
      </c>
      <c r="J69" s="1032"/>
      <c r="K69" s="1032"/>
      <c r="L69" s="252" t="s">
        <v>399</v>
      </c>
      <c r="M69" s="253" t="s">
        <v>397</v>
      </c>
      <c r="N69" s="409">
        <v>1.02</v>
      </c>
      <c r="O69" s="255">
        <f>E68*N69</f>
        <v>0.81600000000000006</v>
      </c>
      <c r="P69" s="239">
        <v>29.856000000000002</v>
      </c>
      <c r="Q69" s="256">
        <f>N69*P69*$N$11</f>
        <v>35.097315204672014</v>
      </c>
      <c r="R69" s="1032">
        <f>SUM(Q69:Q71)</f>
        <v>35.509028036096176</v>
      </c>
      <c r="S69" s="1032"/>
      <c r="T69" s="1032"/>
      <c r="U69" s="1032"/>
      <c r="V69" s="276">
        <f t="shared" si="2"/>
        <v>0</v>
      </c>
      <c r="W69" s="277">
        <f t="shared" si="3"/>
        <v>0</v>
      </c>
      <c r="X69" s="422"/>
    </row>
    <row r="70" spans="1:39" s="580" customFormat="1" ht="12.75" customHeight="1">
      <c r="A70" s="1026"/>
      <c r="B70" s="1029"/>
      <c r="C70" s="996"/>
      <c r="D70" s="1030"/>
      <c r="E70" s="1031"/>
      <c r="F70" s="1032"/>
      <c r="G70" s="1032"/>
      <c r="H70" s="1032"/>
      <c r="I70" s="1032"/>
      <c r="J70" s="1032"/>
      <c r="K70" s="1032"/>
      <c r="L70" s="262" t="s">
        <v>185</v>
      </c>
      <c r="M70" s="263" t="s">
        <v>342</v>
      </c>
      <c r="N70" s="410">
        <v>7.5399999999999995E-2</v>
      </c>
      <c r="O70" s="264">
        <f>E68*N70</f>
        <v>6.0319999999999999E-2</v>
      </c>
      <c r="P70" s="240">
        <v>3.5</v>
      </c>
      <c r="Q70" s="415">
        <f>N70*P70*$N$11</f>
        <v>0.30414556809000004</v>
      </c>
      <c r="R70" s="1032"/>
      <c r="S70" s="1032"/>
      <c r="T70" s="1032"/>
      <c r="U70" s="1032"/>
      <c r="V70" s="276">
        <f t="shared" si="2"/>
        <v>0</v>
      </c>
      <c r="W70" s="277">
        <f t="shared" si="3"/>
        <v>0</v>
      </c>
      <c r="X70" s="422"/>
    </row>
    <row r="71" spans="1:39" s="580" customFormat="1" ht="12.75" customHeight="1">
      <c r="A71" s="1026"/>
      <c r="B71" s="1029"/>
      <c r="C71" s="971"/>
      <c r="D71" s="1030"/>
      <c r="E71" s="1031"/>
      <c r="F71" s="1032"/>
      <c r="G71" s="1032"/>
      <c r="H71" s="1032"/>
      <c r="I71" s="1032"/>
      <c r="J71" s="1032"/>
      <c r="K71" s="1032"/>
      <c r="L71" s="266" t="s">
        <v>187</v>
      </c>
      <c r="M71" s="257" t="s">
        <v>397</v>
      </c>
      <c r="N71" s="411">
        <f>0.08/100</f>
        <v>8.0000000000000004E-4</v>
      </c>
      <c r="O71" s="259">
        <f>E68*N71</f>
        <v>6.4000000000000005E-4</v>
      </c>
      <c r="P71" s="373">
        <v>116.667</v>
      </c>
      <c r="Q71" s="261">
        <f>N71*P71*$N$11</f>
        <v>0.10756726333416003</v>
      </c>
      <c r="R71" s="1032"/>
      <c r="S71" s="1032"/>
      <c r="T71" s="1032"/>
      <c r="U71" s="1032"/>
      <c r="V71" s="276">
        <f t="shared" si="2"/>
        <v>0</v>
      </c>
      <c r="W71" s="277">
        <f t="shared" si="3"/>
        <v>0</v>
      </c>
      <c r="X71" s="422"/>
    </row>
    <row r="72" spans="1:39" s="210" customFormat="1" ht="21.75" customHeight="1">
      <c r="A72" s="966">
        <f>+A68+1</f>
        <v>23</v>
      </c>
      <c r="B72" s="968" t="s">
        <v>400</v>
      </c>
      <c r="C72" s="988" t="s">
        <v>408</v>
      </c>
      <c r="D72" s="972" t="s">
        <v>116</v>
      </c>
      <c r="E72" s="990">
        <v>1520</v>
      </c>
      <c r="F72" s="976">
        <v>7.0000000000000007E-2</v>
      </c>
      <c r="G72" s="977"/>
      <c r="H72" s="978"/>
      <c r="I72" s="976">
        <v>7.0000000000000007E-2</v>
      </c>
      <c r="J72" s="977"/>
      <c r="K72" s="978"/>
      <c r="L72" s="618" t="s">
        <v>20</v>
      </c>
      <c r="M72" s="697"/>
      <c r="N72" s="699"/>
      <c r="O72" s="699"/>
      <c r="P72" s="271"/>
      <c r="Q72" s="698"/>
      <c r="R72" s="696">
        <f>F73+I73</f>
        <v>0.38918670000000005</v>
      </c>
      <c r="S72" s="979">
        <f>R72+R73</f>
        <v>4.4436926058000008</v>
      </c>
      <c r="T72" s="979">
        <f>E72*S72</f>
        <v>6754.4127608160015</v>
      </c>
      <c r="U72" s="992">
        <f>E72*R73</f>
        <v>6162.8489768160016</v>
      </c>
      <c r="V72" s="276">
        <f t="shared" si="2"/>
        <v>5.9009446114467714</v>
      </c>
      <c r="W72" s="277">
        <f t="shared" si="3"/>
        <v>8969.4358093990922</v>
      </c>
      <c r="X72" s="422"/>
      <c r="Y72" s="707"/>
      <c r="Z72" s="700"/>
      <c r="AA72" s="401"/>
      <c r="AB72" s="401"/>
      <c r="AC72" s="401"/>
      <c r="AD72" s="401"/>
      <c r="AE72" s="401"/>
      <c r="AF72" s="401"/>
      <c r="AG72" s="401"/>
      <c r="AH72" s="401"/>
      <c r="AI72" s="401"/>
      <c r="AJ72" s="401"/>
      <c r="AK72" s="401"/>
      <c r="AL72" s="401"/>
      <c r="AM72" s="401"/>
    </row>
    <row r="73" spans="1:39" s="210" customFormat="1" ht="21.75" customHeight="1">
      <c r="A73" s="967"/>
      <c r="B73" s="969"/>
      <c r="C73" s="989"/>
      <c r="D73" s="973"/>
      <c r="E73" s="991"/>
      <c r="F73" s="976">
        <f>F72*$J$13/1000</f>
        <v>0.16359000000000001</v>
      </c>
      <c r="G73" s="977"/>
      <c r="H73" s="978"/>
      <c r="I73" s="976">
        <f>I72*$Q$13/1000</f>
        <v>0.22559670000000004</v>
      </c>
      <c r="J73" s="977"/>
      <c r="K73" s="978"/>
      <c r="L73" s="708" t="s">
        <v>402</v>
      </c>
      <c r="M73" s="246" t="s">
        <v>116</v>
      </c>
      <c r="N73" s="247">
        <v>1</v>
      </c>
      <c r="O73" s="250">
        <f>E72*N73</f>
        <v>1520</v>
      </c>
      <c r="P73" s="243">
        <v>3.5179999999999998</v>
      </c>
      <c r="Q73" s="248">
        <f>N73*P73*$N$11</f>
        <v>4.054505905800001</v>
      </c>
      <c r="R73" s="691">
        <f>SUM(Q73:Q73)</f>
        <v>4.054505905800001</v>
      </c>
      <c r="S73" s="980"/>
      <c r="T73" s="980"/>
      <c r="U73" s="993"/>
      <c r="V73" s="276">
        <f t="shared" si="2"/>
        <v>0</v>
      </c>
      <c r="W73" s="277">
        <f t="shared" si="3"/>
        <v>0</v>
      </c>
      <c r="X73" s="422"/>
      <c r="Y73" s="701"/>
      <c r="Z73" s="700"/>
      <c r="AA73" s="401"/>
      <c r="AB73" s="401"/>
      <c r="AC73" s="401"/>
      <c r="AD73" s="401"/>
      <c r="AE73" s="401"/>
      <c r="AF73" s="401"/>
      <c r="AG73" s="401"/>
      <c r="AH73" s="401"/>
      <c r="AI73" s="401"/>
      <c r="AJ73" s="401"/>
      <c r="AK73" s="401"/>
      <c r="AL73" s="401"/>
      <c r="AM73" s="401"/>
    </row>
    <row r="74" spans="1:39" s="210" customFormat="1" ht="16.5" customHeight="1">
      <c r="A74" s="1024">
        <f>+A72+1</f>
        <v>24</v>
      </c>
      <c r="B74" s="968" t="s">
        <v>404</v>
      </c>
      <c r="C74" s="970" t="s">
        <v>403</v>
      </c>
      <c r="D74" s="972" t="s">
        <v>164</v>
      </c>
      <c r="E74" s="974">
        <v>30</v>
      </c>
      <c r="F74" s="1017">
        <f>3.45/10</f>
        <v>0.34500000000000003</v>
      </c>
      <c r="G74" s="1018"/>
      <c r="H74" s="1016"/>
      <c r="I74" s="1017">
        <f>2.27/10</f>
        <v>0.22700000000000001</v>
      </c>
      <c r="J74" s="1018"/>
      <c r="K74" s="1016"/>
      <c r="L74" s="420"/>
      <c r="M74" s="697"/>
      <c r="N74" s="542"/>
      <c r="O74" s="542"/>
      <c r="P74" s="469"/>
      <c r="Q74" s="695"/>
      <c r="R74" s="696">
        <f>F75+I75</f>
        <v>1.53784287</v>
      </c>
      <c r="S74" s="979">
        <f>R74+R75</f>
        <v>3.3703227990000006</v>
      </c>
      <c r="T74" s="979">
        <f>E74*S74</f>
        <v>101.10968397000002</v>
      </c>
      <c r="U74" s="1016">
        <f>R75*E74</f>
        <v>54.974397870000018</v>
      </c>
      <c r="V74" s="276">
        <f t="shared" si="2"/>
        <v>4.4755769410415347</v>
      </c>
      <c r="W74" s="277">
        <f t="shared" si="3"/>
        <v>134.26730823124603</v>
      </c>
      <c r="X74" s="422"/>
    </row>
    <row r="75" spans="1:39" s="210" customFormat="1" ht="16.5" customHeight="1">
      <c r="A75" s="1025"/>
      <c r="B75" s="969"/>
      <c r="C75" s="971"/>
      <c r="D75" s="973"/>
      <c r="E75" s="975"/>
      <c r="F75" s="976">
        <f>F74*$J$13/1000</f>
        <v>0.80626500000000012</v>
      </c>
      <c r="G75" s="977"/>
      <c r="H75" s="978"/>
      <c r="I75" s="976">
        <f>I74*$Q$13/1000</f>
        <v>0.73157786999999996</v>
      </c>
      <c r="J75" s="977"/>
      <c r="K75" s="978"/>
      <c r="L75" s="592" t="s">
        <v>405</v>
      </c>
      <c r="M75" s="246" t="s">
        <v>164</v>
      </c>
      <c r="N75" s="544">
        <v>1</v>
      </c>
      <c r="O75" s="545">
        <f>E74*N75</f>
        <v>30</v>
      </c>
      <c r="P75" s="247">
        <v>1.59</v>
      </c>
      <c r="Q75" s="248">
        <f>N75*P75*$N$11</f>
        <v>1.8324799290000007</v>
      </c>
      <c r="R75" s="696">
        <f>SUM(Q75:Q75)</f>
        <v>1.8324799290000007</v>
      </c>
      <c r="S75" s="980"/>
      <c r="T75" s="980"/>
      <c r="U75" s="987"/>
      <c r="V75" s="276">
        <f t="shared" si="2"/>
        <v>0</v>
      </c>
      <c r="W75" s="277">
        <f t="shared" si="3"/>
        <v>0</v>
      </c>
      <c r="X75" s="422"/>
    </row>
    <row r="76" spans="1:39" s="210" customFormat="1" ht="16.5" customHeight="1">
      <c r="A76" s="1024">
        <f>+A74+1</f>
        <v>25</v>
      </c>
      <c r="B76" s="968" t="s">
        <v>404</v>
      </c>
      <c r="C76" s="970" t="s">
        <v>406</v>
      </c>
      <c r="D76" s="972" t="s">
        <v>164</v>
      </c>
      <c r="E76" s="974">
        <v>31</v>
      </c>
      <c r="F76" s="1017">
        <f>3.45/10</f>
        <v>0.34500000000000003</v>
      </c>
      <c r="G76" s="1018"/>
      <c r="H76" s="1016"/>
      <c r="I76" s="1017">
        <f>2.27/10</f>
        <v>0.22700000000000001</v>
      </c>
      <c r="J76" s="1018"/>
      <c r="K76" s="1016"/>
      <c r="L76" s="420"/>
      <c r="M76" s="697"/>
      <c r="N76" s="542"/>
      <c r="O76" s="542"/>
      <c r="P76" s="469"/>
      <c r="Q76" s="695"/>
      <c r="R76" s="696">
        <f>F77+I77</f>
        <v>1.53784287</v>
      </c>
      <c r="S76" s="979">
        <f>R76+R77</f>
        <v>1.9020338496</v>
      </c>
      <c r="T76" s="979">
        <f>E76*S76</f>
        <v>58.963049337599998</v>
      </c>
      <c r="U76" s="1016">
        <f>R77*E76</f>
        <v>11.289920367600004</v>
      </c>
      <c r="V76" s="276">
        <f t="shared" si="2"/>
        <v>2.5257814595314141</v>
      </c>
      <c r="W76" s="277">
        <f t="shared" si="3"/>
        <v>78.299225245473835</v>
      </c>
      <c r="X76" s="422"/>
    </row>
    <row r="77" spans="1:39" s="210" customFormat="1" ht="12.75">
      <c r="A77" s="1025"/>
      <c r="B77" s="969"/>
      <c r="C77" s="971"/>
      <c r="D77" s="973"/>
      <c r="E77" s="975"/>
      <c r="F77" s="976">
        <f>F76*$J$13/1000</f>
        <v>0.80626500000000012</v>
      </c>
      <c r="G77" s="977"/>
      <c r="H77" s="978"/>
      <c r="I77" s="976">
        <f>I76*$Q$13/1000</f>
        <v>0.73157786999999996</v>
      </c>
      <c r="J77" s="977"/>
      <c r="K77" s="978"/>
      <c r="L77" s="592" t="s">
        <v>407</v>
      </c>
      <c r="M77" s="246" t="s">
        <v>164</v>
      </c>
      <c r="N77" s="544">
        <v>1</v>
      </c>
      <c r="O77" s="545">
        <f>E76*N77</f>
        <v>31</v>
      </c>
      <c r="P77" s="243">
        <v>0.316</v>
      </c>
      <c r="Q77" s="248">
        <f>N77*P77*$N$11</f>
        <v>0.36419097960000013</v>
      </c>
      <c r="R77" s="696">
        <f>SUM(Q77:Q77)</f>
        <v>0.36419097960000013</v>
      </c>
      <c r="S77" s="980"/>
      <c r="T77" s="980"/>
      <c r="U77" s="987"/>
      <c r="V77" s="276">
        <f t="shared" si="2"/>
        <v>0</v>
      </c>
      <c r="W77" s="277">
        <f t="shared" si="3"/>
        <v>0</v>
      </c>
      <c r="X77" s="422"/>
    </row>
    <row r="78" spans="1:39" s="210" customFormat="1" ht="21.75" customHeight="1">
      <c r="A78" s="966">
        <f>+A74+1</f>
        <v>25</v>
      </c>
      <c r="B78" s="968" t="s">
        <v>411</v>
      </c>
      <c r="C78" s="988" t="s">
        <v>409</v>
      </c>
      <c r="D78" s="972" t="s">
        <v>116</v>
      </c>
      <c r="E78" s="990">
        <v>60</v>
      </c>
      <c r="F78" s="976">
        <v>0.06</v>
      </c>
      <c r="G78" s="977"/>
      <c r="H78" s="978"/>
      <c r="I78" s="976">
        <v>0.05</v>
      </c>
      <c r="J78" s="977"/>
      <c r="K78" s="978"/>
      <c r="L78" s="618" t="s">
        <v>20</v>
      </c>
      <c r="M78" s="697"/>
      <c r="N78" s="699"/>
      <c r="O78" s="699"/>
      <c r="P78" s="271"/>
      <c r="Q78" s="698"/>
      <c r="R78" s="696">
        <f>F79+I79</f>
        <v>0.30136050000000003</v>
      </c>
      <c r="S78" s="979">
        <f>R78+R79</f>
        <v>0.46155843090000009</v>
      </c>
      <c r="T78" s="979">
        <f>E78*S78</f>
        <v>27.693505854000005</v>
      </c>
      <c r="U78" s="992">
        <f>E78*R79</f>
        <v>9.6118758540000044</v>
      </c>
      <c r="V78" s="276">
        <f t="shared" si="2"/>
        <v>0.6129205994429594</v>
      </c>
      <c r="W78" s="277">
        <f t="shared" si="3"/>
        <v>36.775235966577561</v>
      </c>
      <c r="X78" s="422"/>
      <c r="Y78" s="707"/>
      <c r="Z78" s="700"/>
      <c r="AA78" s="401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</row>
    <row r="79" spans="1:39" s="210" customFormat="1" ht="21.75" customHeight="1">
      <c r="A79" s="967"/>
      <c r="B79" s="969"/>
      <c r="C79" s="989"/>
      <c r="D79" s="973"/>
      <c r="E79" s="991"/>
      <c r="F79" s="976">
        <f>F78*$J$13/1000</f>
        <v>0.14022000000000001</v>
      </c>
      <c r="G79" s="977"/>
      <c r="H79" s="978"/>
      <c r="I79" s="976">
        <f>I78*$Q$13/1000</f>
        <v>0.16114049999999999</v>
      </c>
      <c r="J79" s="977"/>
      <c r="K79" s="978"/>
      <c r="L79" s="708" t="s">
        <v>412</v>
      </c>
      <c r="M79" s="246" t="s">
        <v>116</v>
      </c>
      <c r="N79" s="247">
        <v>1</v>
      </c>
      <c r="O79" s="250">
        <f>E78*N79</f>
        <v>60</v>
      </c>
      <c r="P79" s="243">
        <v>0.13900000000000001</v>
      </c>
      <c r="Q79" s="248">
        <f>N79*P79*$N$11</f>
        <v>0.16019793090000006</v>
      </c>
      <c r="R79" s="691">
        <f>SUM(Q79:Q79)</f>
        <v>0.16019793090000006</v>
      </c>
      <c r="S79" s="980"/>
      <c r="T79" s="980"/>
      <c r="U79" s="993"/>
      <c r="V79" s="276">
        <f t="shared" si="2"/>
        <v>0</v>
      </c>
      <c r="W79" s="277">
        <f t="shared" si="3"/>
        <v>0</v>
      </c>
      <c r="X79" s="422"/>
      <c r="Y79" s="701"/>
      <c r="Z79" s="700"/>
      <c r="AA79" s="401"/>
      <c r="AB79" s="401"/>
      <c r="AC79" s="401"/>
      <c r="AD79" s="401"/>
      <c r="AE79" s="401"/>
      <c r="AF79" s="401"/>
      <c r="AG79" s="401"/>
      <c r="AH79" s="401"/>
      <c r="AI79" s="401"/>
      <c r="AJ79" s="401"/>
      <c r="AK79" s="401"/>
      <c r="AL79" s="401"/>
      <c r="AM79" s="401"/>
    </row>
    <row r="80" spans="1:39" s="210" customFormat="1" ht="16.5" customHeight="1">
      <c r="A80" s="1024">
        <f>+A78+1</f>
        <v>26</v>
      </c>
      <c r="B80" s="968" t="s">
        <v>404</v>
      </c>
      <c r="C80" s="970" t="s">
        <v>403</v>
      </c>
      <c r="D80" s="972" t="s">
        <v>164</v>
      </c>
      <c r="E80" s="974">
        <v>1</v>
      </c>
      <c r="F80" s="1017">
        <f>3.45/10</f>
        <v>0.34500000000000003</v>
      </c>
      <c r="G80" s="1018"/>
      <c r="H80" s="1016"/>
      <c r="I80" s="1017">
        <f>2.27/10</f>
        <v>0.22700000000000001</v>
      </c>
      <c r="J80" s="1018"/>
      <c r="K80" s="1016"/>
      <c r="L80" s="420"/>
      <c r="M80" s="697"/>
      <c r="N80" s="542"/>
      <c r="O80" s="542"/>
      <c r="P80" s="469"/>
      <c r="Q80" s="695"/>
      <c r="R80" s="696">
        <f>F81+I81</f>
        <v>1.53784287</v>
      </c>
      <c r="S80" s="979">
        <f>R80+R81</f>
        <v>3.4625230470000004</v>
      </c>
      <c r="T80" s="979">
        <f>E80*S80</f>
        <v>3.4625230470000004</v>
      </c>
      <c r="U80" s="1016">
        <f>R81*E80</f>
        <v>1.9246801770000004</v>
      </c>
      <c r="V80" s="276">
        <f t="shared" si="2"/>
        <v>4.5980130780280408</v>
      </c>
      <c r="W80" s="277">
        <f t="shared" si="3"/>
        <v>4.5980130780280408</v>
      </c>
      <c r="X80" s="422"/>
    </row>
    <row r="81" spans="1:39" s="210" customFormat="1" ht="16.5" customHeight="1">
      <c r="A81" s="1025"/>
      <c r="B81" s="969"/>
      <c r="C81" s="971"/>
      <c r="D81" s="973"/>
      <c r="E81" s="975"/>
      <c r="F81" s="976">
        <f>F80*$J$13/1000</f>
        <v>0.80626500000000012</v>
      </c>
      <c r="G81" s="977"/>
      <c r="H81" s="978"/>
      <c r="I81" s="976">
        <f>I80*$Q$13/1000</f>
        <v>0.73157786999999996</v>
      </c>
      <c r="J81" s="977"/>
      <c r="K81" s="978"/>
      <c r="L81" s="592" t="s">
        <v>405</v>
      </c>
      <c r="M81" s="246" t="s">
        <v>164</v>
      </c>
      <c r="N81" s="544">
        <v>1</v>
      </c>
      <c r="O81" s="545">
        <f>E80*N81</f>
        <v>1</v>
      </c>
      <c r="P81" s="247">
        <v>1.67</v>
      </c>
      <c r="Q81" s="248">
        <f>N81*P81*$N$11</f>
        <v>1.9246801770000004</v>
      </c>
      <c r="R81" s="696">
        <f>SUM(Q81:Q81)</f>
        <v>1.9246801770000004</v>
      </c>
      <c r="S81" s="980"/>
      <c r="T81" s="980"/>
      <c r="U81" s="987"/>
      <c r="V81" s="276">
        <f t="shared" si="2"/>
        <v>0</v>
      </c>
      <c r="W81" s="277">
        <f t="shared" si="3"/>
        <v>0</v>
      </c>
      <c r="X81" s="422"/>
    </row>
    <row r="82" spans="1:39" s="210" customFormat="1" ht="21.75" customHeight="1">
      <c r="A82" s="966">
        <f>+A78+1</f>
        <v>26</v>
      </c>
      <c r="B82" s="968" t="s">
        <v>411</v>
      </c>
      <c r="C82" s="988" t="s">
        <v>414</v>
      </c>
      <c r="D82" s="972" t="s">
        <v>116</v>
      </c>
      <c r="E82" s="990">
        <v>18</v>
      </c>
      <c r="F82" s="976">
        <v>0.06</v>
      </c>
      <c r="G82" s="977"/>
      <c r="H82" s="978"/>
      <c r="I82" s="976">
        <v>0.05</v>
      </c>
      <c r="J82" s="977"/>
      <c r="K82" s="978"/>
      <c r="L82" s="618" t="s">
        <v>20</v>
      </c>
      <c r="M82" s="697"/>
      <c r="N82" s="699"/>
      <c r="O82" s="699"/>
      <c r="P82" s="271"/>
      <c r="Q82" s="698"/>
      <c r="R82" s="696">
        <f>F83+I83</f>
        <v>0.30136050000000003</v>
      </c>
      <c r="S82" s="979">
        <f>R82+R83</f>
        <v>1.1000451483000002</v>
      </c>
      <c r="T82" s="979">
        <f>E82*S82</f>
        <v>19.800812669400003</v>
      </c>
      <c r="U82" s="992">
        <f>E82*R83</f>
        <v>14.376323669400003</v>
      </c>
      <c r="V82" s="276">
        <f t="shared" si="2"/>
        <v>1.4607908480745186</v>
      </c>
      <c r="W82" s="277">
        <f t="shared" si="3"/>
        <v>26.294235265341335</v>
      </c>
      <c r="X82" s="422"/>
      <c r="Y82" s="707"/>
      <c r="Z82" s="700"/>
      <c r="AA82" s="401"/>
      <c r="AB82" s="401"/>
      <c r="AC82" s="401"/>
      <c r="AD82" s="401"/>
      <c r="AE82" s="401"/>
      <c r="AF82" s="401"/>
      <c r="AG82" s="401"/>
      <c r="AH82" s="401"/>
      <c r="AI82" s="401"/>
      <c r="AJ82" s="401"/>
      <c r="AK82" s="401"/>
      <c r="AL82" s="401"/>
      <c r="AM82" s="401"/>
    </row>
    <row r="83" spans="1:39" s="210" customFormat="1" ht="21.75" customHeight="1">
      <c r="A83" s="967"/>
      <c r="B83" s="969"/>
      <c r="C83" s="989"/>
      <c r="D83" s="973"/>
      <c r="E83" s="991"/>
      <c r="F83" s="976">
        <f>F82*$J$13/1000</f>
        <v>0.14022000000000001</v>
      </c>
      <c r="G83" s="977"/>
      <c r="H83" s="978"/>
      <c r="I83" s="976">
        <f>I82*$Q$13/1000</f>
        <v>0.16114049999999999</v>
      </c>
      <c r="J83" s="977"/>
      <c r="K83" s="978"/>
      <c r="L83" s="708" t="s">
        <v>415</v>
      </c>
      <c r="M83" s="246" t="s">
        <v>116</v>
      </c>
      <c r="N83" s="247">
        <v>1</v>
      </c>
      <c r="O83" s="250">
        <f>E82*N83</f>
        <v>18</v>
      </c>
      <c r="P83" s="243">
        <v>0.69299999999999995</v>
      </c>
      <c r="Q83" s="248">
        <f>N83*P83*$N$11</f>
        <v>0.79868464830000019</v>
      </c>
      <c r="R83" s="691">
        <f>SUM(Q83:Q83)</f>
        <v>0.79868464830000019</v>
      </c>
      <c r="S83" s="980"/>
      <c r="T83" s="980"/>
      <c r="U83" s="993"/>
      <c r="V83" s="276">
        <f t="shared" si="2"/>
        <v>0</v>
      </c>
      <c r="W83" s="277">
        <f t="shared" si="3"/>
        <v>0</v>
      </c>
      <c r="X83" s="422"/>
      <c r="Y83" s="701"/>
      <c r="Z83" s="700"/>
      <c r="AA83" s="401"/>
      <c r="AB83" s="401"/>
      <c r="AC83" s="401"/>
      <c r="AD83" s="401"/>
      <c r="AE83" s="401"/>
      <c r="AF83" s="401"/>
      <c r="AG83" s="401"/>
      <c r="AH83" s="401"/>
      <c r="AI83" s="401"/>
      <c r="AJ83" s="401"/>
      <c r="AK83" s="401"/>
      <c r="AL83" s="401"/>
      <c r="AM83" s="401"/>
    </row>
    <row r="84" spans="1:39" s="210" customFormat="1" ht="16.5" customHeight="1">
      <c r="A84" s="1024">
        <f>+A82+1</f>
        <v>27</v>
      </c>
      <c r="B84" s="968" t="s">
        <v>404</v>
      </c>
      <c r="C84" s="1034" t="s">
        <v>416</v>
      </c>
      <c r="D84" s="811" t="s">
        <v>164</v>
      </c>
      <c r="E84" s="974">
        <v>3</v>
      </c>
      <c r="F84" s="1017">
        <f>3.45/10</f>
        <v>0.34500000000000003</v>
      </c>
      <c r="G84" s="1018"/>
      <c r="H84" s="1016"/>
      <c r="I84" s="1017">
        <f>2.27/10</f>
        <v>0.22700000000000001</v>
      </c>
      <c r="J84" s="1018"/>
      <c r="K84" s="1016"/>
      <c r="L84" s="721"/>
      <c r="M84" s="687"/>
      <c r="N84" s="478"/>
      <c r="O84" s="478"/>
      <c r="P84" s="478"/>
      <c r="Q84" s="688"/>
      <c r="R84" s="479">
        <f>F85+I85</f>
        <v>1.53784287</v>
      </c>
      <c r="S84" s="805">
        <f>R84+R85</f>
        <v>28.42958187000001</v>
      </c>
      <c r="T84" s="1035">
        <f>E84*S84</f>
        <v>85.288745610000035</v>
      </c>
      <c r="U84" s="870">
        <f>E84*R85</f>
        <v>80.675217000000032</v>
      </c>
      <c r="V84" s="276">
        <f t="shared" si="2"/>
        <v>37.752698672832523</v>
      </c>
      <c r="W84" s="277">
        <f t="shared" si="3"/>
        <v>113.25809601849757</v>
      </c>
      <c r="X84" s="422"/>
    </row>
    <row r="85" spans="1:39" s="210" customFormat="1" ht="16.5" customHeight="1">
      <c r="A85" s="1025"/>
      <c r="B85" s="969"/>
      <c r="C85" s="1034"/>
      <c r="D85" s="886"/>
      <c r="E85" s="975"/>
      <c r="F85" s="976">
        <f>F84*$J$13/1000</f>
        <v>0.80626500000000012</v>
      </c>
      <c r="G85" s="977"/>
      <c r="H85" s="978"/>
      <c r="I85" s="976">
        <f>I84*$Q$13/1000</f>
        <v>0.73157786999999996</v>
      </c>
      <c r="J85" s="977"/>
      <c r="K85" s="978"/>
      <c r="L85" s="713" t="s">
        <v>418</v>
      </c>
      <c r="M85" s="474" t="s">
        <v>164</v>
      </c>
      <c r="N85" s="714">
        <v>1</v>
      </c>
      <c r="O85" s="715">
        <f>E84*N85</f>
        <v>3</v>
      </c>
      <c r="P85" s="475">
        <f>28/1.2</f>
        <v>23.333333333333336</v>
      </c>
      <c r="Q85" s="476">
        <f>N85*P85*$N$11</f>
        <v>26.891739000000012</v>
      </c>
      <c r="R85" s="686">
        <f>SUM(Q85:Q85)</f>
        <v>26.891739000000012</v>
      </c>
      <c r="S85" s="887"/>
      <c r="T85" s="1036"/>
      <c r="U85" s="1050"/>
      <c r="V85" s="276">
        <f t="shared" si="2"/>
        <v>0</v>
      </c>
      <c r="W85" s="277">
        <f t="shared" si="3"/>
        <v>0</v>
      </c>
      <c r="X85" s="422"/>
    </row>
    <row r="86" spans="1:39" s="576" customFormat="1" ht="14.25" customHeight="1">
      <c r="A86" s="966">
        <f t="shared" ref="A86:A94" si="12">+A84+1</f>
        <v>28</v>
      </c>
      <c r="B86" s="968" t="s">
        <v>419</v>
      </c>
      <c r="C86" s="1037" t="s">
        <v>423</v>
      </c>
      <c r="D86" s="972" t="s">
        <v>116</v>
      </c>
      <c r="E86" s="990">
        <v>1520</v>
      </c>
      <c r="F86" s="1039">
        <f>29.8/1000</f>
        <v>2.98E-2</v>
      </c>
      <c r="G86" s="1040"/>
      <c r="H86" s="1041"/>
      <c r="I86" s="1042"/>
      <c r="J86" s="1043"/>
      <c r="K86" s="1044"/>
      <c r="L86" s="709"/>
      <c r="M86" s="697"/>
      <c r="N86" s="699"/>
      <c r="O86" s="699"/>
      <c r="P86" s="699"/>
      <c r="Q86" s="695"/>
      <c r="R86" s="696">
        <f>F87+I87</f>
        <v>6.9642599999999999E-2</v>
      </c>
      <c r="S86" s="979">
        <f>R86+R87</f>
        <v>8.6001229001400004E-2</v>
      </c>
      <c r="T86" s="979">
        <f>E86*S86</f>
        <v>130.721868082128</v>
      </c>
      <c r="U86" s="1048">
        <f>R87*E86</f>
        <v>24.865116082128008</v>
      </c>
      <c r="V86" s="276">
        <f t="shared" si="2"/>
        <v>0.11420422920145884</v>
      </c>
      <c r="W86" s="277">
        <f t="shared" si="3"/>
        <v>173.59042838621744</v>
      </c>
      <c r="X86" s="422"/>
      <c r="Y86" s="210"/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159"/>
      <c r="AK86" s="159"/>
      <c r="AL86" s="159"/>
      <c r="AM86" s="210"/>
    </row>
    <row r="87" spans="1:39" s="576" customFormat="1" ht="14.25" customHeight="1">
      <c r="A87" s="967"/>
      <c r="B87" s="969"/>
      <c r="C87" s="1038"/>
      <c r="D87" s="973"/>
      <c r="E87" s="991"/>
      <c r="F87" s="976">
        <f>F86*J$13/1000</f>
        <v>6.9642599999999999E-2</v>
      </c>
      <c r="G87" s="977"/>
      <c r="H87" s="978"/>
      <c r="I87" s="1045">
        <f>I86*$Q$13/1000</f>
        <v>0</v>
      </c>
      <c r="J87" s="1046"/>
      <c r="K87" s="1047"/>
      <c r="L87" s="340" t="s">
        <v>420</v>
      </c>
      <c r="M87" s="246" t="s">
        <v>421</v>
      </c>
      <c r="N87" s="341">
        <v>9.4E-2</v>
      </c>
      <c r="O87" s="250">
        <f>E86*N87</f>
        <v>142.88</v>
      </c>
      <c r="P87" s="243">
        <v>0.151</v>
      </c>
      <c r="Q87" s="248">
        <f>N87*P87*$N$11</f>
        <v>1.6358629001400005E-2</v>
      </c>
      <c r="R87" s="696">
        <f>SUM(Q87:Q87)</f>
        <v>1.6358629001400005E-2</v>
      </c>
      <c r="S87" s="980"/>
      <c r="T87" s="980"/>
      <c r="U87" s="1049"/>
      <c r="V87" s="276">
        <f t="shared" si="2"/>
        <v>0</v>
      </c>
      <c r="W87" s="277">
        <f t="shared" si="3"/>
        <v>0</v>
      </c>
      <c r="X87" s="422"/>
      <c r="Y87" s="210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9"/>
      <c r="AK87" s="159"/>
      <c r="AL87" s="159"/>
      <c r="AM87" s="210"/>
    </row>
    <row r="88" spans="1:39" s="576" customFormat="1" ht="14.25" customHeight="1">
      <c r="A88" s="966">
        <f t="shared" si="12"/>
        <v>29</v>
      </c>
      <c r="B88" s="968" t="s">
        <v>422</v>
      </c>
      <c r="C88" s="1037" t="s">
        <v>424</v>
      </c>
      <c r="D88" s="972" t="s">
        <v>116</v>
      </c>
      <c r="E88" s="990">
        <v>60</v>
      </c>
      <c r="F88" s="1039">
        <f>29.8/1000</f>
        <v>2.98E-2</v>
      </c>
      <c r="G88" s="1040"/>
      <c r="H88" s="1041"/>
      <c r="I88" s="1042"/>
      <c r="J88" s="1043"/>
      <c r="K88" s="1044"/>
      <c r="L88" s="709"/>
      <c r="M88" s="697"/>
      <c r="N88" s="699"/>
      <c r="O88" s="699"/>
      <c r="P88" s="699"/>
      <c r="Q88" s="695"/>
      <c r="R88" s="696">
        <f>F89+I89</f>
        <v>6.9642599999999999E-2</v>
      </c>
      <c r="S88" s="979">
        <f>R88+R89</f>
        <v>7.5037467011100006E-2</v>
      </c>
      <c r="T88" s="979">
        <f>E88*S88</f>
        <v>4.5022480206660003</v>
      </c>
      <c r="U88" s="1048">
        <f>R89*E88</f>
        <v>0.323692020666</v>
      </c>
      <c r="V88" s="276">
        <f t="shared" ref="V88:V128" si="13">+$V$14*S88</f>
        <v>9.9645042062050854E-2</v>
      </c>
      <c r="W88" s="277">
        <f t="shared" ref="W88:W128" si="14">+V88*E88</f>
        <v>5.9787025237230509</v>
      </c>
      <c r="X88" s="422"/>
      <c r="Y88" s="210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210"/>
    </row>
    <row r="89" spans="1:39" s="576" customFormat="1" ht="14.25" customHeight="1">
      <c r="A89" s="967"/>
      <c r="B89" s="969"/>
      <c r="C89" s="1038"/>
      <c r="D89" s="973"/>
      <c r="E89" s="991"/>
      <c r="F89" s="1039">
        <f>F88*J$13/1000</f>
        <v>6.9642599999999999E-2</v>
      </c>
      <c r="G89" s="1040"/>
      <c r="H89" s="1041"/>
      <c r="I89" s="1045">
        <f>I88*$Q$13/1000</f>
        <v>0</v>
      </c>
      <c r="J89" s="1046"/>
      <c r="K89" s="1047"/>
      <c r="L89" s="340" t="s">
        <v>420</v>
      </c>
      <c r="M89" s="246" t="s">
        <v>421</v>
      </c>
      <c r="N89" s="341">
        <v>3.1E-2</v>
      </c>
      <c r="O89" s="250">
        <f>E88*N89</f>
        <v>1.8599999999999999</v>
      </c>
      <c r="P89" s="243">
        <v>0.151</v>
      </c>
      <c r="Q89" s="248">
        <f>N89*P89*$N$11</f>
        <v>5.3948670111000005E-3</v>
      </c>
      <c r="R89" s="696">
        <f>SUM(Q89:Q89)</f>
        <v>5.3948670111000005E-3</v>
      </c>
      <c r="S89" s="980"/>
      <c r="T89" s="980"/>
      <c r="U89" s="1049"/>
      <c r="V89" s="276">
        <f t="shared" si="13"/>
        <v>0</v>
      </c>
      <c r="W89" s="277">
        <f t="shared" si="14"/>
        <v>0</v>
      </c>
      <c r="X89" s="422"/>
      <c r="Y89" s="210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59"/>
      <c r="AK89" s="159"/>
      <c r="AL89" s="159"/>
      <c r="AM89" s="210"/>
    </row>
    <row r="90" spans="1:39" s="210" customFormat="1" ht="16.5" customHeight="1">
      <c r="A90" s="966">
        <f t="shared" si="12"/>
        <v>30</v>
      </c>
      <c r="B90" s="968" t="s">
        <v>404</v>
      </c>
      <c r="C90" s="988" t="s">
        <v>425</v>
      </c>
      <c r="D90" s="972" t="s">
        <v>164</v>
      </c>
      <c r="E90" s="974">
        <v>30</v>
      </c>
      <c r="F90" s="1017">
        <f>3.45/10</f>
        <v>0.34500000000000003</v>
      </c>
      <c r="G90" s="1018"/>
      <c r="H90" s="1016"/>
      <c r="I90" s="1017">
        <f>2.27/10</f>
        <v>0.22700000000000001</v>
      </c>
      <c r="J90" s="1018"/>
      <c r="K90" s="1016"/>
      <c r="L90" s="420"/>
      <c r="M90" s="697"/>
      <c r="N90" s="542"/>
      <c r="O90" s="542"/>
      <c r="P90" s="469"/>
      <c r="Q90" s="695"/>
      <c r="R90" s="696">
        <f>F91+I91</f>
        <v>1.53784287</v>
      </c>
      <c r="S90" s="979">
        <f>R90+R91</f>
        <v>2.92084659</v>
      </c>
      <c r="T90" s="979">
        <f>E90*S90</f>
        <v>87.625397700000008</v>
      </c>
      <c r="U90" s="1016">
        <f>R91*E90</f>
        <v>41.490111600000006</v>
      </c>
      <c r="V90" s="276">
        <f t="shared" si="13"/>
        <v>3.8787007732323135</v>
      </c>
      <c r="W90" s="277">
        <f t="shared" si="14"/>
        <v>116.36102319696941</v>
      </c>
      <c r="X90" s="422"/>
    </row>
    <row r="91" spans="1:39" s="210" customFormat="1" ht="12.75">
      <c r="A91" s="967"/>
      <c r="B91" s="969"/>
      <c r="C91" s="989"/>
      <c r="D91" s="973"/>
      <c r="E91" s="975"/>
      <c r="F91" s="976">
        <f>F90*$J$13/1000</f>
        <v>0.80626500000000012</v>
      </c>
      <c r="G91" s="977"/>
      <c r="H91" s="978"/>
      <c r="I91" s="976">
        <f>I90*$Q$13/1000</f>
        <v>0.73157786999999996</v>
      </c>
      <c r="J91" s="977"/>
      <c r="K91" s="978"/>
      <c r="L91" s="592" t="s">
        <v>425</v>
      </c>
      <c r="M91" s="246" t="s">
        <v>164</v>
      </c>
      <c r="N91" s="544">
        <v>1</v>
      </c>
      <c r="O91" s="545">
        <f>E90*N91</f>
        <v>30</v>
      </c>
      <c r="P91" s="243">
        <v>1.2</v>
      </c>
      <c r="Q91" s="248">
        <f>N91*P91*$N$11</f>
        <v>1.3830037200000003</v>
      </c>
      <c r="R91" s="696">
        <f>SUM(Q91:Q91)</f>
        <v>1.3830037200000003</v>
      </c>
      <c r="S91" s="980"/>
      <c r="T91" s="980"/>
      <c r="U91" s="987"/>
      <c r="V91" s="276">
        <f t="shared" si="13"/>
        <v>0</v>
      </c>
      <c r="W91" s="277">
        <f t="shared" si="14"/>
        <v>0</v>
      </c>
      <c r="X91" s="422"/>
    </row>
    <row r="92" spans="1:39" s="210" customFormat="1" ht="16.5" customHeight="1">
      <c r="A92" s="966">
        <f t="shared" si="12"/>
        <v>31</v>
      </c>
      <c r="B92" s="968" t="s">
        <v>404</v>
      </c>
      <c r="C92" s="988" t="s">
        <v>426</v>
      </c>
      <c r="D92" s="972" t="s">
        <v>164</v>
      </c>
      <c r="E92" s="974">
        <v>10</v>
      </c>
      <c r="F92" s="1017">
        <f>3.45/10</f>
        <v>0.34500000000000003</v>
      </c>
      <c r="G92" s="1018"/>
      <c r="H92" s="1016"/>
      <c r="I92" s="1017">
        <f>2.27/10</f>
        <v>0.22700000000000001</v>
      </c>
      <c r="J92" s="1018"/>
      <c r="K92" s="1016"/>
      <c r="L92" s="420"/>
      <c r="M92" s="697"/>
      <c r="N92" s="542"/>
      <c r="O92" s="542"/>
      <c r="P92" s="469"/>
      <c r="Q92" s="695"/>
      <c r="R92" s="696">
        <f>F93+I93</f>
        <v>1.53784287</v>
      </c>
      <c r="S92" s="979">
        <f>R92+R93</f>
        <v>26.508743370000008</v>
      </c>
      <c r="T92" s="979">
        <f>E92*S92</f>
        <v>265.08743370000008</v>
      </c>
      <c r="U92" s="1016">
        <f>R93*E92</f>
        <v>249.7090050000001</v>
      </c>
      <c r="V92" s="276">
        <f t="shared" si="13"/>
        <v>35.201945818946967</v>
      </c>
      <c r="W92" s="277">
        <f t="shared" si="14"/>
        <v>352.01945818946967</v>
      </c>
      <c r="X92" s="422"/>
    </row>
    <row r="93" spans="1:39" s="210" customFormat="1" ht="12.75">
      <c r="A93" s="967"/>
      <c r="B93" s="969"/>
      <c r="C93" s="989"/>
      <c r="D93" s="973"/>
      <c r="E93" s="975"/>
      <c r="F93" s="976">
        <f>F92*$J$13/1000</f>
        <v>0.80626500000000012</v>
      </c>
      <c r="G93" s="977"/>
      <c r="H93" s="978"/>
      <c r="I93" s="976">
        <f>I92*$Q$13/1000</f>
        <v>0.73157786999999996</v>
      </c>
      <c r="J93" s="977"/>
      <c r="K93" s="978"/>
      <c r="L93" s="592" t="s">
        <v>426</v>
      </c>
      <c r="M93" s="246" t="s">
        <v>164</v>
      </c>
      <c r="N93" s="544">
        <v>1</v>
      </c>
      <c r="O93" s="545">
        <f>E92*N93</f>
        <v>10</v>
      </c>
      <c r="P93" s="243">
        <f>26/1.2</f>
        <v>21.666666666666668</v>
      </c>
      <c r="Q93" s="248">
        <f>N93*P93*$N$11</f>
        <v>24.97090050000001</v>
      </c>
      <c r="R93" s="696">
        <f>SUM(Q93:Q93)</f>
        <v>24.97090050000001</v>
      </c>
      <c r="S93" s="980"/>
      <c r="T93" s="980"/>
      <c r="U93" s="987"/>
      <c r="V93" s="276">
        <f t="shared" si="13"/>
        <v>0</v>
      </c>
      <c r="W93" s="277">
        <f t="shared" si="14"/>
        <v>0</v>
      </c>
      <c r="X93" s="422"/>
    </row>
    <row r="94" spans="1:39" s="210" customFormat="1" ht="16.5" customHeight="1">
      <c r="A94" s="966">
        <f t="shared" si="12"/>
        <v>32</v>
      </c>
      <c r="B94" s="968" t="s">
        <v>404</v>
      </c>
      <c r="C94" s="988" t="s">
        <v>427</v>
      </c>
      <c r="D94" s="972" t="s">
        <v>164</v>
      </c>
      <c r="E94" s="974">
        <v>1</v>
      </c>
      <c r="F94" s="1017">
        <f>3.45/10</f>
        <v>0.34500000000000003</v>
      </c>
      <c r="G94" s="1018"/>
      <c r="H94" s="1016"/>
      <c r="I94" s="1017">
        <f>2.27/10</f>
        <v>0.22700000000000001</v>
      </c>
      <c r="J94" s="1018"/>
      <c r="K94" s="1016"/>
      <c r="L94" s="420"/>
      <c r="M94" s="697"/>
      <c r="N94" s="542"/>
      <c r="O94" s="542"/>
      <c r="P94" s="469"/>
      <c r="Q94" s="695"/>
      <c r="R94" s="696">
        <f>F95+I95</f>
        <v>1.53784287</v>
      </c>
      <c r="S94" s="979">
        <f>R94+R95</f>
        <v>28.621665720000006</v>
      </c>
      <c r="T94" s="979">
        <f>E94*S94</f>
        <v>28.621665720000006</v>
      </c>
      <c r="U94" s="1016">
        <f>R95*E94</f>
        <v>27.083822850000008</v>
      </c>
      <c r="V94" s="276">
        <f t="shared" si="13"/>
        <v>38.007773958221073</v>
      </c>
      <c r="W94" s="277">
        <f t="shared" si="14"/>
        <v>38.007773958221073</v>
      </c>
      <c r="X94" s="422"/>
    </row>
    <row r="95" spans="1:39" s="210" customFormat="1" ht="12.75">
      <c r="A95" s="967"/>
      <c r="B95" s="969"/>
      <c r="C95" s="989"/>
      <c r="D95" s="973"/>
      <c r="E95" s="975"/>
      <c r="F95" s="976">
        <f>F94*$J$13/1000</f>
        <v>0.80626500000000012</v>
      </c>
      <c r="G95" s="977"/>
      <c r="H95" s="978"/>
      <c r="I95" s="976">
        <f>I94*$Q$13/1000</f>
        <v>0.73157786999999996</v>
      </c>
      <c r="J95" s="977"/>
      <c r="K95" s="978"/>
      <c r="L95" s="592" t="s">
        <v>427</v>
      </c>
      <c r="M95" s="246" t="s">
        <v>164</v>
      </c>
      <c r="N95" s="544">
        <v>1</v>
      </c>
      <c r="O95" s="545">
        <f>E94*N95</f>
        <v>1</v>
      </c>
      <c r="P95" s="243">
        <f>28.2/1.2</f>
        <v>23.5</v>
      </c>
      <c r="Q95" s="248">
        <f>N95*P95*$N$11</f>
        <v>27.083822850000008</v>
      </c>
      <c r="R95" s="696">
        <f>SUM(Q95:Q95)</f>
        <v>27.083822850000008</v>
      </c>
      <c r="S95" s="980"/>
      <c r="T95" s="980"/>
      <c r="U95" s="987"/>
      <c r="V95" s="276">
        <f t="shared" si="13"/>
        <v>0</v>
      </c>
      <c r="W95" s="277">
        <f t="shared" si="14"/>
        <v>0</v>
      </c>
      <c r="X95" s="422"/>
    </row>
    <row r="96" spans="1:39" s="210" customFormat="1" ht="16.5" customHeight="1">
      <c r="A96" s="966">
        <f>+A94+1</f>
        <v>33</v>
      </c>
      <c r="B96" s="968" t="s">
        <v>191</v>
      </c>
      <c r="C96" s="988" t="s">
        <v>428</v>
      </c>
      <c r="D96" s="972" t="s">
        <v>164</v>
      </c>
      <c r="E96" s="974">
        <v>2</v>
      </c>
      <c r="F96" s="976"/>
      <c r="G96" s="977"/>
      <c r="H96" s="978"/>
      <c r="I96" s="976"/>
      <c r="J96" s="977"/>
      <c r="K96" s="978"/>
      <c r="L96" s="420"/>
      <c r="M96" s="697"/>
      <c r="N96" s="542"/>
      <c r="O96" s="542"/>
      <c r="P96" s="469"/>
      <c r="Q96" s="695"/>
      <c r="R96" s="696">
        <f>F97+I97</f>
        <v>0</v>
      </c>
      <c r="S96" s="979">
        <f>R96+R97</f>
        <v>2.535506820000001</v>
      </c>
      <c r="T96" s="979">
        <f>E96*S96</f>
        <v>5.0710136400000021</v>
      </c>
      <c r="U96" s="979">
        <f>R97*E96</f>
        <v>5.0710136400000021</v>
      </c>
      <c r="V96" s="276">
        <f t="shared" si="13"/>
        <v>3.3669937671289367</v>
      </c>
      <c r="W96" s="277">
        <f t="shared" si="14"/>
        <v>6.7339875342578734</v>
      </c>
      <c r="X96" s="422"/>
    </row>
    <row r="97" spans="1:31" s="210" customFormat="1" ht="12.75">
      <c r="A97" s="967"/>
      <c r="B97" s="969"/>
      <c r="C97" s="989"/>
      <c r="D97" s="973"/>
      <c r="E97" s="975"/>
      <c r="F97" s="976">
        <f>F96*$J$13/1000</f>
        <v>0</v>
      </c>
      <c r="G97" s="977"/>
      <c r="H97" s="978"/>
      <c r="I97" s="976">
        <f>I96*$Q$13/1000</f>
        <v>0</v>
      </c>
      <c r="J97" s="977"/>
      <c r="K97" s="978"/>
      <c r="L97" s="592" t="s">
        <v>429</v>
      </c>
      <c r="M97" s="246" t="s">
        <v>164</v>
      </c>
      <c r="N97" s="544">
        <v>1</v>
      </c>
      <c r="O97" s="545">
        <f>E96*N97</f>
        <v>2</v>
      </c>
      <c r="P97" s="243">
        <v>2.2000000000000002</v>
      </c>
      <c r="Q97" s="248">
        <f>N97*P97*$N$11</f>
        <v>2.535506820000001</v>
      </c>
      <c r="R97" s="696">
        <f>SUM(Q97:Q97)</f>
        <v>2.535506820000001</v>
      </c>
      <c r="S97" s="980"/>
      <c r="T97" s="980"/>
      <c r="U97" s="980"/>
      <c r="V97" s="276">
        <f t="shared" si="13"/>
        <v>0</v>
      </c>
      <c r="W97" s="277">
        <f t="shared" si="14"/>
        <v>0</v>
      </c>
      <c r="X97" s="422"/>
    </row>
    <row r="98" spans="1:31" s="535" customFormat="1" ht="16.5" customHeight="1">
      <c r="A98" s="1051">
        <f>+A96+1</f>
        <v>34</v>
      </c>
      <c r="B98" s="1027" t="s">
        <v>340</v>
      </c>
      <c r="C98" s="1014" t="s">
        <v>430</v>
      </c>
      <c r="D98" s="1003" t="s">
        <v>164</v>
      </c>
      <c r="E98" s="1005">
        <v>4</v>
      </c>
      <c r="F98" s="1007">
        <v>0.22</v>
      </c>
      <c r="G98" s="1008"/>
      <c r="H98" s="1009"/>
      <c r="I98" s="1007">
        <f>0.23</f>
        <v>0.23</v>
      </c>
      <c r="J98" s="1008"/>
      <c r="K98" s="1009"/>
      <c r="L98" s="620"/>
      <c r="M98" s="530"/>
      <c r="N98" s="602"/>
      <c r="O98" s="602"/>
      <c r="P98" s="532"/>
      <c r="Q98" s="533"/>
      <c r="R98" s="534">
        <f>F99+I99</f>
        <v>1.2553863000000001</v>
      </c>
      <c r="S98" s="1010">
        <f>R98+R99</f>
        <v>5.5772729250000008</v>
      </c>
      <c r="T98" s="1010">
        <f>E98*S98</f>
        <v>22.309091700000003</v>
      </c>
      <c r="U98" s="1012">
        <f>+R99*E98</f>
        <v>17.287546500000005</v>
      </c>
      <c r="V98" s="276">
        <f t="shared" si="13"/>
        <v>7.4062680596741481</v>
      </c>
      <c r="W98" s="277">
        <f t="shared" si="14"/>
        <v>29.625072238696593</v>
      </c>
      <c r="X98" s="422"/>
    </row>
    <row r="99" spans="1:31" s="535" customFormat="1" ht="16.5" customHeight="1">
      <c r="A99" s="1052"/>
      <c r="B99" s="1028"/>
      <c r="C99" s="1015"/>
      <c r="D99" s="1004"/>
      <c r="E99" s="1006"/>
      <c r="F99" s="1007">
        <f>F98*$J$13/1000</f>
        <v>0.51414000000000004</v>
      </c>
      <c r="G99" s="1008"/>
      <c r="H99" s="1009"/>
      <c r="I99" s="1007">
        <f>I98*$Q$13/1000</f>
        <v>0.74124630000000002</v>
      </c>
      <c r="J99" s="1008"/>
      <c r="K99" s="1009"/>
      <c r="L99" s="536" t="s">
        <v>273</v>
      </c>
      <c r="M99" s="537" t="s">
        <v>164</v>
      </c>
      <c r="N99" s="538">
        <v>1</v>
      </c>
      <c r="O99" s="539">
        <f>E98*N99</f>
        <v>4</v>
      </c>
      <c r="P99" s="470">
        <f>4.5/1.2</f>
        <v>3.75</v>
      </c>
      <c r="Q99" s="540">
        <f>N99*P99*$N$11</f>
        <v>4.3218866250000012</v>
      </c>
      <c r="R99" s="541">
        <f>+Q99</f>
        <v>4.3218866250000012</v>
      </c>
      <c r="S99" s="1011"/>
      <c r="T99" s="1011"/>
      <c r="U99" s="1013"/>
      <c r="V99" s="276">
        <f t="shared" si="13"/>
        <v>0</v>
      </c>
      <c r="W99" s="277">
        <f t="shared" si="14"/>
        <v>0</v>
      </c>
      <c r="X99" s="422"/>
    </row>
    <row r="100" spans="1:31" s="210" customFormat="1" ht="16.5" customHeight="1">
      <c r="A100" s="1024">
        <f>+A98+1</f>
        <v>35</v>
      </c>
      <c r="B100" s="968" t="s">
        <v>341</v>
      </c>
      <c r="C100" s="970" t="s">
        <v>432</v>
      </c>
      <c r="D100" s="972" t="s">
        <v>164</v>
      </c>
      <c r="E100" s="974">
        <v>2</v>
      </c>
      <c r="F100" s="1017">
        <v>0.79</v>
      </c>
      <c r="G100" s="1018"/>
      <c r="H100" s="1016"/>
      <c r="I100" s="1017">
        <v>0.06</v>
      </c>
      <c r="J100" s="1018"/>
      <c r="K100" s="1016"/>
      <c r="L100" s="420"/>
      <c r="M100" s="697"/>
      <c r="N100" s="542"/>
      <c r="O100" s="542"/>
      <c r="P100" s="716"/>
      <c r="Q100" s="698"/>
      <c r="R100" s="696">
        <f>F101+I101</f>
        <v>2.0395986000000002</v>
      </c>
      <c r="S100" s="979">
        <f>R100+R101</f>
        <v>41.416787850000013</v>
      </c>
      <c r="T100" s="979">
        <f>E100*S100</f>
        <v>82.833575700000026</v>
      </c>
      <c r="U100" s="1016">
        <f>R101*E100</f>
        <v>78.75437850000003</v>
      </c>
      <c r="V100" s="276">
        <f t="shared" si="13"/>
        <v>54.998892310394758</v>
      </c>
      <c r="W100" s="277">
        <f t="shared" si="14"/>
        <v>109.99778462078952</v>
      </c>
      <c r="X100" s="422"/>
    </row>
    <row r="101" spans="1:31" s="210" customFormat="1" ht="16.5" customHeight="1">
      <c r="A101" s="1025"/>
      <c r="B101" s="969"/>
      <c r="C101" s="971"/>
      <c r="D101" s="973"/>
      <c r="E101" s="975"/>
      <c r="F101" s="976">
        <f>F100*$J$13/1000</f>
        <v>1.84623</v>
      </c>
      <c r="G101" s="977"/>
      <c r="H101" s="978"/>
      <c r="I101" s="976">
        <f>I100*$Q$13/1000</f>
        <v>0.19336859999999997</v>
      </c>
      <c r="J101" s="977"/>
      <c r="K101" s="978"/>
      <c r="L101" s="592" t="s">
        <v>433</v>
      </c>
      <c r="M101" s="246" t="s">
        <v>164</v>
      </c>
      <c r="N101" s="544">
        <v>1</v>
      </c>
      <c r="O101" s="545">
        <f>E100*N101</f>
        <v>2</v>
      </c>
      <c r="P101" s="341">
        <f>41/1.2</f>
        <v>34.166666666666671</v>
      </c>
      <c r="Q101" s="248">
        <f>N101*P101*$N$11</f>
        <v>39.377189250000015</v>
      </c>
      <c r="R101" s="696">
        <f>SUM(Q101:Q101)</f>
        <v>39.377189250000015</v>
      </c>
      <c r="S101" s="980"/>
      <c r="T101" s="980"/>
      <c r="U101" s="987"/>
      <c r="V101" s="276">
        <f t="shared" si="13"/>
        <v>0</v>
      </c>
      <c r="W101" s="277">
        <f t="shared" si="14"/>
        <v>0</v>
      </c>
      <c r="X101" s="422"/>
    </row>
    <row r="102" spans="1:31" s="210" customFormat="1" ht="16.5" customHeight="1">
      <c r="A102" s="966">
        <f>+A100+1</f>
        <v>36</v>
      </c>
      <c r="B102" s="968" t="s">
        <v>191</v>
      </c>
      <c r="C102" s="988" t="s">
        <v>434</v>
      </c>
      <c r="D102" s="972" t="s">
        <v>164</v>
      </c>
      <c r="E102" s="974">
        <v>1</v>
      </c>
      <c r="F102" s="976"/>
      <c r="G102" s="977"/>
      <c r="H102" s="978"/>
      <c r="I102" s="976"/>
      <c r="J102" s="977"/>
      <c r="K102" s="978"/>
      <c r="L102" s="420"/>
      <c r="M102" s="697"/>
      <c r="N102" s="542"/>
      <c r="O102" s="542"/>
      <c r="P102" s="469"/>
      <c r="Q102" s="695"/>
      <c r="R102" s="696">
        <f>F103+I103</f>
        <v>0</v>
      </c>
      <c r="S102" s="979">
        <f>R102+R103</f>
        <v>0.63387670500000026</v>
      </c>
      <c r="T102" s="979">
        <f>E102*S102</f>
        <v>0.63387670500000026</v>
      </c>
      <c r="U102" s="979">
        <f>R103*E102</f>
        <v>0.63387670500000026</v>
      </c>
      <c r="V102" s="276">
        <f t="shared" si="13"/>
        <v>0.84174844178223418</v>
      </c>
      <c r="W102" s="277">
        <f t="shared" si="14"/>
        <v>0.84174844178223418</v>
      </c>
      <c r="X102" s="422"/>
    </row>
    <row r="103" spans="1:31" s="210" customFormat="1" ht="29.25">
      <c r="A103" s="967"/>
      <c r="B103" s="969"/>
      <c r="C103" s="989"/>
      <c r="D103" s="973"/>
      <c r="E103" s="975"/>
      <c r="F103" s="976">
        <f>F102*$J$13/1000</f>
        <v>0</v>
      </c>
      <c r="G103" s="977"/>
      <c r="H103" s="978"/>
      <c r="I103" s="976">
        <f>I102*$Q$13/1000</f>
        <v>0</v>
      </c>
      <c r="J103" s="977"/>
      <c r="K103" s="978"/>
      <c r="L103" s="592" t="s">
        <v>434</v>
      </c>
      <c r="M103" s="246" t="s">
        <v>164</v>
      </c>
      <c r="N103" s="544">
        <v>1</v>
      </c>
      <c r="O103" s="545">
        <f>E102*N103</f>
        <v>1</v>
      </c>
      <c r="P103" s="243">
        <v>0.55000000000000004</v>
      </c>
      <c r="Q103" s="248">
        <f>N103*P103*$N$11</f>
        <v>0.63387670500000026</v>
      </c>
      <c r="R103" s="696">
        <f>SUM(Q103:Q103)</f>
        <v>0.63387670500000026</v>
      </c>
      <c r="S103" s="980"/>
      <c r="T103" s="980"/>
      <c r="U103" s="980"/>
      <c r="V103" s="276">
        <f t="shared" si="13"/>
        <v>0</v>
      </c>
      <c r="W103" s="277">
        <f t="shared" si="14"/>
        <v>0</v>
      </c>
      <c r="X103" s="422"/>
    </row>
    <row r="104" spans="1:31" s="157" customFormat="1" ht="21.75" customHeight="1">
      <c r="A104" s="1056">
        <f>+A102+1</f>
        <v>37</v>
      </c>
      <c r="B104" s="968" t="s">
        <v>148</v>
      </c>
      <c r="C104" s="988" t="s">
        <v>435</v>
      </c>
      <c r="D104" s="972" t="s">
        <v>124</v>
      </c>
      <c r="E104" s="990">
        <v>3.3</v>
      </c>
      <c r="F104" s="1053">
        <f>0.001*190</f>
        <v>0.19</v>
      </c>
      <c r="G104" s="1054"/>
      <c r="H104" s="1055"/>
      <c r="I104" s="1053">
        <f>0.001*162</f>
        <v>0.16200000000000001</v>
      </c>
      <c r="J104" s="1054"/>
      <c r="K104" s="1055"/>
      <c r="L104" s="420"/>
      <c r="M104" s="697"/>
      <c r="N104" s="699"/>
      <c r="O104" s="699"/>
      <c r="P104" s="699"/>
      <c r="Q104" s="695"/>
      <c r="R104" s="696">
        <f>F105+I105</f>
        <v>0.96612522000000012</v>
      </c>
      <c r="S104" s="979">
        <f>R104+R105</f>
        <v>2.3491289400000004</v>
      </c>
      <c r="T104" s="979">
        <f>E104*S104</f>
        <v>7.7521255020000011</v>
      </c>
      <c r="U104" s="1048">
        <f>R105*E104</f>
        <v>4.5639122760000008</v>
      </c>
      <c r="V104" s="276">
        <f t="shared" si="13"/>
        <v>3.1194956514304324</v>
      </c>
      <c r="W104" s="277">
        <f t="shared" si="14"/>
        <v>10.294335649720427</v>
      </c>
      <c r="X104" s="422"/>
      <c r="Y104" s="242"/>
      <c r="Z104" s="242"/>
    </row>
    <row r="105" spans="1:31" s="157" customFormat="1" ht="21.75" customHeight="1">
      <c r="A105" s="1057"/>
      <c r="B105" s="969"/>
      <c r="C105" s="989"/>
      <c r="D105" s="973"/>
      <c r="E105" s="991"/>
      <c r="F105" s="976">
        <f>F104*J$13/1000</f>
        <v>0.44403000000000004</v>
      </c>
      <c r="G105" s="977"/>
      <c r="H105" s="978"/>
      <c r="I105" s="976">
        <f>I104*$Q$13/1000</f>
        <v>0.52209522000000008</v>
      </c>
      <c r="J105" s="977"/>
      <c r="K105" s="978"/>
      <c r="L105" s="340" t="s">
        <v>149</v>
      </c>
      <c r="M105" s="246" t="s">
        <v>124</v>
      </c>
      <c r="N105" s="341">
        <v>1</v>
      </c>
      <c r="O105" s="250">
        <f>E104*N105</f>
        <v>3.3</v>
      </c>
      <c r="P105" s="243">
        <v>1.2</v>
      </c>
      <c r="Q105" s="248">
        <f>N105*P105*$N$11</f>
        <v>1.3830037200000003</v>
      </c>
      <c r="R105" s="696">
        <f>SUM(Q105:Q105)</f>
        <v>1.3830037200000003</v>
      </c>
      <c r="S105" s="980"/>
      <c r="T105" s="980"/>
      <c r="U105" s="1049"/>
      <c r="V105" s="276">
        <f t="shared" si="13"/>
        <v>0</v>
      </c>
      <c r="W105" s="277">
        <f t="shared" si="14"/>
        <v>0</v>
      </c>
      <c r="X105" s="422"/>
      <c r="Y105" s="242"/>
      <c r="Z105" s="242"/>
    </row>
    <row r="106" spans="1:31" s="210" customFormat="1" ht="16.5" customHeight="1">
      <c r="A106" s="966">
        <f>+A104+1</f>
        <v>38</v>
      </c>
      <c r="B106" s="968" t="s">
        <v>191</v>
      </c>
      <c r="C106" s="988" t="s">
        <v>437</v>
      </c>
      <c r="D106" s="972" t="s">
        <v>164</v>
      </c>
      <c r="E106" s="974">
        <v>2</v>
      </c>
      <c r="F106" s="976"/>
      <c r="G106" s="977"/>
      <c r="H106" s="978"/>
      <c r="I106" s="976"/>
      <c r="J106" s="977"/>
      <c r="K106" s="978"/>
      <c r="L106" s="420"/>
      <c r="M106" s="697"/>
      <c r="N106" s="542"/>
      <c r="O106" s="542"/>
      <c r="P106" s="469"/>
      <c r="Q106" s="695"/>
      <c r="R106" s="696">
        <f>F107+I107</f>
        <v>0</v>
      </c>
      <c r="S106" s="979">
        <f>R106+R107</f>
        <v>0.92200248000000029</v>
      </c>
      <c r="T106" s="979">
        <f>E106*S106</f>
        <v>1.8440049600000006</v>
      </c>
      <c r="U106" s="979">
        <f>R107*E106</f>
        <v>1.8440049600000006</v>
      </c>
      <c r="V106" s="276">
        <f t="shared" si="13"/>
        <v>1.2243613698650677</v>
      </c>
      <c r="W106" s="277">
        <f t="shared" si="14"/>
        <v>2.4487227397301354</v>
      </c>
      <c r="X106" s="422"/>
    </row>
    <row r="107" spans="1:31" s="210" customFormat="1" ht="19.5">
      <c r="A107" s="967"/>
      <c r="B107" s="969"/>
      <c r="C107" s="989"/>
      <c r="D107" s="973"/>
      <c r="E107" s="975"/>
      <c r="F107" s="976">
        <f>F106*$J$13/1000</f>
        <v>0</v>
      </c>
      <c r="G107" s="977"/>
      <c r="H107" s="978"/>
      <c r="I107" s="976">
        <f>I106*$Q$13/1000</f>
        <v>0</v>
      </c>
      <c r="J107" s="977"/>
      <c r="K107" s="978"/>
      <c r="L107" s="592" t="s">
        <v>437</v>
      </c>
      <c r="M107" s="246" t="s">
        <v>164</v>
      </c>
      <c r="N107" s="544">
        <v>1</v>
      </c>
      <c r="O107" s="545">
        <f>E106*N107</f>
        <v>2</v>
      </c>
      <c r="P107" s="243">
        <v>0.8</v>
      </c>
      <c r="Q107" s="248">
        <f>N107*P107*$N$11</f>
        <v>0.92200248000000029</v>
      </c>
      <c r="R107" s="696">
        <f>SUM(Q107:Q107)</f>
        <v>0.92200248000000029</v>
      </c>
      <c r="S107" s="980"/>
      <c r="T107" s="980"/>
      <c r="U107" s="980"/>
      <c r="V107" s="276">
        <f t="shared" si="13"/>
        <v>0</v>
      </c>
      <c r="W107" s="277">
        <f t="shared" si="14"/>
        <v>0</v>
      </c>
      <c r="X107" s="422"/>
    </row>
    <row r="108" spans="1:31" s="722" customFormat="1" ht="34.5" customHeight="1">
      <c r="A108" s="730"/>
      <c r="B108" s="731"/>
      <c r="C108" s="732" t="s">
        <v>457</v>
      </c>
      <c r="D108" s="733"/>
      <c r="E108" s="733"/>
      <c r="F108" s="734"/>
      <c r="G108" s="735"/>
      <c r="H108" s="736"/>
      <c r="I108" s="736"/>
      <c r="J108" s="736"/>
      <c r="K108" s="736"/>
      <c r="L108" s="730"/>
      <c r="M108" s="736"/>
      <c r="N108" s="736"/>
      <c r="O108" s="736"/>
      <c r="P108" s="736"/>
      <c r="Q108" s="736"/>
      <c r="R108" s="736"/>
      <c r="S108" s="736"/>
      <c r="T108" s="736"/>
      <c r="U108" s="736"/>
      <c r="V108" s="276">
        <f t="shared" si="13"/>
        <v>0</v>
      </c>
      <c r="W108" s="277">
        <f t="shared" si="14"/>
        <v>0</v>
      </c>
      <c r="X108" s="422"/>
      <c r="Y108" s="730"/>
      <c r="Z108" s="730"/>
      <c r="AA108" s="730"/>
      <c r="AB108" s="730"/>
      <c r="AC108" s="730"/>
      <c r="AD108" s="730"/>
      <c r="AE108" s="730"/>
    </row>
    <row r="109" spans="1:31" s="622" customFormat="1" ht="12.75" customHeight="1">
      <c r="A109" s="1061">
        <v>1</v>
      </c>
      <c r="B109" s="1064" t="s">
        <v>439</v>
      </c>
      <c r="C109" s="1066" t="s">
        <v>440</v>
      </c>
      <c r="D109" s="1061" t="s">
        <v>184</v>
      </c>
      <c r="E109" s="1068">
        <v>4</v>
      </c>
      <c r="F109" s="1070">
        <v>5.89</v>
      </c>
      <c r="G109" s="1070"/>
      <c r="H109" s="1070"/>
      <c r="I109" s="1071">
        <v>7.14</v>
      </c>
      <c r="J109" s="1071"/>
      <c r="K109" s="1071"/>
      <c r="L109" s="738"/>
      <c r="M109" s="739"/>
      <c r="N109" s="739"/>
      <c r="O109" s="740"/>
      <c r="P109" s="739"/>
      <c r="Q109" s="741"/>
      <c r="R109" s="693">
        <f>F110+I110</f>
        <v>36.775793399999998</v>
      </c>
      <c r="S109" s="1094">
        <f>R109+R110</f>
        <v>135.49225819980393</v>
      </c>
      <c r="T109" s="1070">
        <f>E109*S109</f>
        <v>541.96903279921571</v>
      </c>
      <c r="U109" s="1095">
        <f>R110*E109</f>
        <v>394.86585919921572</v>
      </c>
      <c r="V109" s="276">
        <f t="shared" si="13"/>
        <v>179.92520676910038</v>
      </c>
      <c r="W109" s="277">
        <f t="shared" si="14"/>
        <v>719.70082707640154</v>
      </c>
      <c r="X109" s="422"/>
      <c r="Y109" s="580"/>
      <c r="Z109" s="580"/>
      <c r="AA109" s="580"/>
      <c r="AB109" s="580"/>
      <c r="AC109" s="580"/>
      <c r="AD109" s="580"/>
      <c r="AE109" s="580"/>
    </row>
    <row r="110" spans="1:31" s="622" customFormat="1" ht="12.75" customHeight="1">
      <c r="A110" s="1062"/>
      <c r="B110" s="1065"/>
      <c r="C110" s="1067"/>
      <c r="D110" s="1062"/>
      <c r="E110" s="1069"/>
      <c r="F110" s="1070">
        <f>F109*J$13/1000</f>
        <v>13.764929999999998</v>
      </c>
      <c r="G110" s="1070"/>
      <c r="H110" s="1070"/>
      <c r="I110" s="1070">
        <f>I109*$Q$13/1000</f>
        <v>23.010863399999998</v>
      </c>
      <c r="J110" s="1070"/>
      <c r="K110" s="1070"/>
      <c r="L110" s="742" t="s">
        <v>441</v>
      </c>
      <c r="M110" s="743" t="s">
        <v>184</v>
      </c>
      <c r="N110" s="743">
        <v>1</v>
      </c>
      <c r="O110" s="744">
        <f>E109*N110</f>
        <v>4</v>
      </c>
      <c r="P110" s="745">
        <v>63.1</v>
      </c>
      <c r="Q110" s="746">
        <f>N110*P110*$N$11</f>
        <v>72.722945610000025</v>
      </c>
      <c r="R110" s="1070">
        <f>SUM(Q110:Q112)</f>
        <v>98.71646479980393</v>
      </c>
      <c r="S110" s="1094"/>
      <c r="T110" s="1070"/>
      <c r="U110" s="1095"/>
      <c r="V110" s="276">
        <f t="shared" si="13"/>
        <v>0</v>
      </c>
      <c r="W110" s="277">
        <f t="shared" si="14"/>
        <v>0</v>
      </c>
      <c r="X110" s="422"/>
      <c r="Y110" s="580"/>
      <c r="Z110" s="580"/>
      <c r="AA110" s="580"/>
      <c r="AB110" s="580"/>
      <c r="AC110" s="580"/>
      <c r="AD110" s="580"/>
      <c r="AE110" s="580"/>
    </row>
    <row r="111" spans="1:31" s="622" customFormat="1" ht="12.75" customHeight="1">
      <c r="A111" s="1062"/>
      <c r="B111" s="1065"/>
      <c r="C111" s="1067"/>
      <c r="D111" s="1062"/>
      <c r="E111" s="1069"/>
      <c r="F111" s="1070"/>
      <c r="G111" s="1070"/>
      <c r="H111" s="1070"/>
      <c r="I111" s="1070"/>
      <c r="J111" s="1070"/>
      <c r="K111" s="1070"/>
      <c r="L111" s="747" t="s">
        <v>455</v>
      </c>
      <c r="M111" s="748" t="s">
        <v>184</v>
      </c>
      <c r="N111" s="748">
        <v>0.157</v>
      </c>
      <c r="O111" s="749">
        <f>E109*N111</f>
        <v>0.628</v>
      </c>
      <c r="P111" s="750">
        <v>24.667000000000002</v>
      </c>
      <c r="Q111" s="751">
        <f>N111*P111*$N$11</f>
        <v>4.4633206529289016</v>
      </c>
      <c r="R111" s="1070"/>
      <c r="S111" s="1094"/>
      <c r="T111" s="1070"/>
      <c r="U111" s="1095"/>
      <c r="V111" s="276">
        <f t="shared" si="13"/>
        <v>0</v>
      </c>
      <c r="W111" s="277">
        <f t="shared" si="14"/>
        <v>0</v>
      </c>
      <c r="X111" s="422"/>
      <c r="Y111" s="580"/>
      <c r="Z111" s="580"/>
      <c r="AA111" s="580"/>
      <c r="AB111" s="580"/>
      <c r="AC111" s="580"/>
      <c r="AD111" s="580"/>
      <c r="AE111" s="580"/>
    </row>
    <row r="112" spans="1:31" s="622" customFormat="1" ht="12.75" customHeight="1">
      <c r="A112" s="1063"/>
      <c r="B112" s="1065"/>
      <c r="C112" s="1067"/>
      <c r="D112" s="1062"/>
      <c r="E112" s="1069"/>
      <c r="F112" s="1070"/>
      <c r="G112" s="1070"/>
      <c r="H112" s="1070"/>
      <c r="I112" s="1070"/>
      <c r="J112" s="1070"/>
      <c r="K112" s="1070"/>
      <c r="L112" s="752" t="s">
        <v>262</v>
      </c>
      <c r="M112" s="753" t="s">
        <v>326</v>
      </c>
      <c r="N112" s="753">
        <v>6.0999999999999999E-2</v>
      </c>
      <c r="O112" s="754">
        <f>E109*N112</f>
        <v>0.24399999999999999</v>
      </c>
      <c r="P112" s="755">
        <v>306.25</v>
      </c>
      <c r="Q112" s="756">
        <f>N112*P112*$N$11</f>
        <v>21.530198536875005</v>
      </c>
      <c r="R112" s="1070"/>
      <c r="S112" s="1094"/>
      <c r="T112" s="1070"/>
      <c r="U112" s="1095"/>
      <c r="V112" s="276">
        <f t="shared" si="13"/>
        <v>0</v>
      </c>
      <c r="W112" s="277">
        <f t="shared" si="14"/>
        <v>0</v>
      </c>
      <c r="X112" s="422"/>
      <c r="Y112" s="580"/>
      <c r="Z112" s="580"/>
      <c r="AA112" s="580"/>
      <c r="AB112" s="580"/>
      <c r="AC112" s="580"/>
      <c r="AD112" s="580"/>
      <c r="AE112" s="580"/>
    </row>
    <row r="113" spans="1:38" s="723" customFormat="1" ht="12.75" customHeight="1">
      <c r="A113" s="1096">
        <f>+A109+1</f>
        <v>2</v>
      </c>
      <c r="B113" s="968" t="s">
        <v>328</v>
      </c>
      <c r="C113" s="988" t="s">
        <v>456</v>
      </c>
      <c r="D113" s="972" t="s">
        <v>164</v>
      </c>
      <c r="E113" s="974">
        <v>2</v>
      </c>
      <c r="F113" s="1098"/>
      <c r="G113" s="1099"/>
      <c r="H113" s="1100"/>
      <c r="I113" s="1101"/>
      <c r="J113" s="1102"/>
      <c r="K113" s="1103"/>
      <c r="L113" s="339"/>
      <c r="M113" s="697"/>
      <c r="N113" s="699"/>
      <c r="O113" s="699"/>
      <c r="P113" s="699"/>
      <c r="Q113" s="695"/>
      <c r="R113" s="757">
        <f>F114+I114</f>
        <v>0</v>
      </c>
      <c r="S113" s="979">
        <f>R113+R114</f>
        <v>57.625155000000014</v>
      </c>
      <c r="T113" s="979">
        <f>E113*S113</f>
        <v>115.25031000000003</v>
      </c>
      <c r="U113" s="1048">
        <f>R114*E113</f>
        <v>115.25031000000003</v>
      </c>
      <c r="V113" s="276">
        <f t="shared" si="13"/>
        <v>76.52258561656673</v>
      </c>
      <c r="W113" s="277">
        <f t="shared" si="14"/>
        <v>153.04517123313346</v>
      </c>
      <c r="X113" s="422"/>
      <c r="Y113" s="242"/>
      <c r="Z113" s="157"/>
      <c r="AA113" s="157"/>
      <c r="AB113" s="157"/>
      <c r="AC113" s="157"/>
      <c r="AD113" s="157"/>
      <c r="AE113" s="157"/>
    </row>
    <row r="114" spans="1:38" s="723" customFormat="1" ht="12.75" customHeight="1">
      <c r="A114" s="1097"/>
      <c r="B114" s="969"/>
      <c r="C114" s="989"/>
      <c r="D114" s="973"/>
      <c r="E114" s="975"/>
      <c r="F114" s="1104"/>
      <c r="G114" s="1105"/>
      <c r="H114" s="1106"/>
      <c r="I114" s="1107"/>
      <c r="J114" s="1108"/>
      <c r="K114" s="1109"/>
      <c r="L114" s="360" t="s">
        <v>442</v>
      </c>
      <c r="M114" s="246" t="s">
        <v>164</v>
      </c>
      <c r="N114" s="341">
        <v>1</v>
      </c>
      <c r="O114" s="250">
        <f>E113*N114</f>
        <v>2</v>
      </c>
      <c r="P114" s="341">
        <v>50</v>
      </c>
      <c r="Q114" s="248">
        <f>N114*P114*$N$11</f>
        <v>57.625155000000014</v>
      </c>
      <c r="R114" s="691">
        <f>SUM(Q114:Q114)</f>
        <v>57.625155000000014</v>
      </c>
      <c r="S114" s="980"/>
      <c r="T114" s="980"/>
      <c r="U114" s="1049"/>
      <c r="V114" s="276">
        <f t="shared" si="13"/>
        <v>0</v>
      </c>
      <c r="W114" s="277">
        <f t="shared" si="14"/>
        <v>0</v>
      </c>
      <c r="X114" s="422"/>
      <c r="Y114" s="242"/>
      <c r="Z114" s="157"/>
      <c r="AA114" s="157"/>
      <c r="AB114" s="157"/>
      <c r="AC114" s="157"/>
      <c r="AD114" s="157"/>
      <c r="AE114" s="157"/>
    </row>
    <row r="115" spans="1:38" s="586" customFormat="1" ht="18.75" customHeight="1">
      <c r="A115" s="1073">
        <f>+A113+1</f>
        <v>3</v>
      </c>
      <c r="B115" s="1076" t="s">
        <v>443</v>
      </c>
      <c r="C115" s="1079" t="s">
        <v>444</v>
      </c>
      <c r="D115" s="1082" t="s">
        <v>326</v>
      </c>
      <c r="E115" s="1085">
        <f>17.9/1000*2</f>
        <v>3.5799999999999998E-2</v>
      </c>
      <c r="F115" s="1088">
        <v>13.8</v>
      </c>
      <c r="G115" s="1089"/>
      <c r="H115" s="1090"/>
      <c r="I115" s="1091">
        <v>32.1</v>
      </c>
      <c r="J115" s="1092"/>
      <c r="K115" s="1093"/>
      <c r="L115" s="342"/>
      <c r="M115" s="697"/>
      <c r="N115" s="469"/>
      <c r="O115" s="699"/>
      <c r="P115" s="699"/>
      <c r="Q115" s="695"/>
      <c r="R115" s="758">
        <f>F116+I116</f>
        <v>135.70280100000002</v>
      </c>
      <c r="S115" s="1110">
        <f>R115+R116</f>
        <v>675.63644281218001</v>
      </c>
      <c r="T115" s="1110">
        <f>E115*S115</f>
        <v>24.187784652676044</v>
      </c>
      <c r="U115" s="1113">
        <f>R116*E115</f>
        <v>19.329624376876044</v>
      </c>
      <c r="V115" s="276">
        <f t="shared" si="13"/>
        <v>897.20275009703005</v>
      </c>
      <c r="W115" s="277">
        <f t="shared" si="14"/>
        <v>32.119858453473675</v>
      </c>
      <c r="X115" s="422"/>
      <c r="Y115" s="725"/>
      <c r="Z115" s="725"/>
      <c r="AA115" s="725"/>
      <c r="AB115" s="725"/>
      <c r="AC115" s="725"/>
      <c r="AD115" s="725"/>
      <c r="AE115" s="725"/>
      <c r="AF115" s="725"/>
      <c r="AG115" s="725"/>
      <c r="AH115" s="725"/>
      <c r="AI115" s="725"/>
      <c r="AJ115" s="725"/>
      <c r="AK115" s="725"/>
    </row>
    <row r="116" spans="1:38" s="586" customFormat="1" ht="22.5">
      <c r="A116" s="1074"/>
      <c r="B116" s="1077"/>
      <c r="C116" s="1080"/>
      <c r="D116" s="1083"/>
      <c r="E116" s="1086"/>
      <c r="F116" s="1116">
        <f>F115*J$13/1000</f>
        <v>32.250600000000006</v>
      </c>
      <c r="G116" s="1117"/>
      <c r="H116" s="1118"/>
      <c r="I116" s="1116">
        <f>I115*$Q$13/1000</f>
        <v>103.452201</v>
      </c>
      <c r="J116" s="1117"/>
      <c r="K116" s="1118"/>
      <c r="L116" s="345" t="s">
        <v>445</v>
      </c>
      <c r="M116" s="253" t="s">
        <v>326</v>
      </c>
      <c r="N116" s="268">
        <v>1</v>
      </c>
      <c r="O116" s="343">
        <f>E115*N116</f>
        <v>3.5799999999999998E-2</v>
      </c>
      <c r="P116" s="344">
        <v>450</v>
      </c>
      <c r="Q116" s="236">
        <f>N116*P116*$N$11</f>
        <v>518.62639500000012</v>
      </c>
      <c r="R116" s="1110">
        <f>SUM(Q116:Q119)</f>
        <v>539.93364181217999</v>
      </c>
      <c r="S116" s="1111"/>
      <c r="T116" s="1111"/>
      <c r="U116" s="1114"/>
      <c r="V116" s="276">
        <f t="shared" si="13"/>
        <v>0</v>
      </c>
      <c r="W116" s="277">
        <f t="shared" si="14"/>
        <v>0</v>
      </c>
      <c r="X116" s="422"/>
      <c r="Y116" s="725"/>
      <c r="Z116" s="725"/>
      <c r="AA116" s="725"/>
      <c r="AB116" s="725"/>
      <c r="AC116" s="725"/>
      <c r="AD116" s="725"/>
      <c r="AE116" s="725"/>
      <c r="AF116" s="725"/>
      <c r="AG116" s="725"/>
      <c r="AH116" s="725"/>
      <c r="AI116" s="725"/>
      <c r="AJ116" s="725"/>
      <c r="AK116" s="725"/>
    </row>
    <row r="117" spans="1:38" s="586" customFormat="1" ht="12.75" customHeight="1">
      <c r="A117" s="1074"/>
      <c r="B117" s="1077"/>
      <c r="C117" s="1080"/>
      <c r="D117" s="1083"/>
      <c r="E117" s="1086"/>
      <c r="F117" s="1119"/>
      <c r="G117" s="1120"/>
      <c r="H117" s="1121"/>
      <c r="I117" s="1119"/>
      <c r="J117" s="1120"/>
      <c r="K117" s="1121"/>
      <c r="L117" s="759" t="s">
        <v>446</v>
      </c>
      <c r="M117" s="263" t="s">
        <v>124</v>
      </c>
      <c r="N117" s="410">
        <v>1</v>
      </c>
      <c r="O117" s="264">
        <f>E115*N117</f>
        <v>3.5799999999999998E-2</v>
      </c>
      <c r="P117" s="240">
        <v>0.45</v>
      </c>
      <c r="Q117" s="265">
        <f>N117*P117*$N$11</f>
        <v>0.51862639500000018</v>
      </c>
      <c r="R117" s="1111"/>
      <c r="S117" s="1111"/>
      <c r="T117" s="1111"/>
      <c r="U117" s="1114"/>
      <c r="V117" s="276">
        <f t="shared" si="13"/>
        <v>0</v>
      </c>
      <c r="W117" s="277">
        <f t="shared" si="14"/>
        <v>0</v>
      </c>
      <c r="X117" s="422"/>
      <c r="Y117" s="725"/>
      <c r="Z117" s="725"/>
      <c r="AA117" s="725"/>
      <c r="AB117" s="725"/>
      <c r="AC117" s="725"/>
      <c r="AD117" s="725"/>
      <c r="AE117" s="725"/>
      <c r="AF117" s="725"/>
      <c r="AG117" s="725"/>
      <c r="AH117" s="725"/>
      <c r="AI117" s="725"/>
      <c r="AJ117" s="725"/>
      <c r="AK117" s="725"/>
    </row>
    <row r="118" spans="1:38" s="586" customFormat="1" ht="12.75" customHeight="1">
      <c r="A118" s="1074"/>
      <c r="B118" s="1077"/>
      <c r="C118" s="1080"/>
      <c r="D118" s="1083"/>
      <c r="E118" s="1086"/>
      <c r="F118" s="1119"/>
      <c r="G118" s="1120"/>
      <c r="H118" s="1121"/>
      <c r="I118" s="1119"/>
      <c r="J118" s="1120"/>
      <c r="K118" s="1121"/>
      <c r="L118" s="760" t="s">
        <v>447</v>
      </c>
      <c r="M118" s="761" t="s">
        <v>124</v>
      </c>
      <c r="N118" s="762">
        <v>13.4</v>
      </c>
      <c r="O118" s="763">
        <f>E115*N118</f>
        <v>0.47971999999999998</v>
      </c>
      <c r="P118" s="764">
        <v>1.167</v>
      </c>
      <c r="Q118" s="765">
        <f>N118*P118*$N$11</f>
        <v>18.022612977180007</v>
      </c>
      <c r="R118" s="1111"/>
      <c r="S118" s="1111"/>
      <c r="T118" s="1111"/>
      <c r="U118" s="1114"/>
      <c r="V118" s="276">
        <f t="shared" si="13"/>
        <v>0</v>
      </c>
      <c r="W118" s="277">
        <f t="shared" si="14"/>
        <v>0</v>
      </c>
      <c r="X118" s="422"/>
      <c r="Y118" s="725"/>
      <c r="Z118" s="725"/>
      <c r="AA118" s="725"/>
      <c r="AB118" s="725"/>
      <c r="AC118" s="725"/>
      <c r="AD118" s="725"/>
      <c r="AE118" s="725"/>
      <c r="AF118" s="725"/>
      <c r="AG118" s="725"/>
      <c r="AH118" s="725"/>
      <c r="AI118" s="725"/>
      <c r="AJ118" s="725"/>
      <c r="AK118" s="725"/>
    </row>
    <row r="119" spans="1:38" s="586" customFormat="1" ht="12.75" customHeight="1">
      <c r="A119" s="1075"/>
      <c r="B119" s="1078"/>
      <c r="C119" s="1081"/>
      <c r="D119" s="1084"/>
      <c r="E119" s="1087"/>
      <c r="F119" s="1122"/>
      <c r="G119" s="1123"/>
      <c r="H119" s="1124"/>
      <c r="I119" s="1122"/>
      <c r="J119" s="1123"/>
      <c r="K119" s="1124"/>
      <c r="L119" s="346" t="s">
        <v>190</v>
      </c>
      <c r="M119" s="460" t="s">
        <v>124</v>
      </c>
      <c r="N119" s="470">
        <v>2.4</v>
      </c>
      <c r="O119" s="259">
        <f>E115*N119</f>
        <v>8.5919999999999996E-2</v>
      </c>
      <c r="P119" s="766">
        <v>1</v>
      </c>
      <c r="Q119" s="261">
        <f>N119*P119*$N$11</f>
        <v>2.7660074400000005</v>
      </c>
      <c r="R119" s="1112"/>
      <c r="S119" s="1112"/>
      <c r="T119" s="1112"/>
      <c r="U119" s="1115"/>
      <c r="V119" s="276">
        <f t="shared" si="13"/>
        <v>0</v>
      </c>
      <c r="W119" s="277">
        <f t="shared" si="14"/>
        <v>0</v>
      </c>
      <c r="X119" s="422"/>
      <c r="Y119" s="725"/>
      <c r="Z119" s="725"/>
      <c r="AA119" s="725"/>
      <c r="AB119" s="725"/>
      <c r="AC119" s="725"/>
      <c r="AD119" s="725"/>
      <c r="AE119" s="725"/>
      <c r="AF119" s="725"/>
      <c r="AG119" s="725"/>
      <c r="AH119" s="725"/>
      <c r="AI119" s="725"/>
      <c r="AJ119" s="725"/>
      <c r="AK119" s="725"/>
    </row>
    <row r="120" spans="1:38" s="157" customFormat="1" ht="12" customHeight="1">
      <c r="A120" s="1058">
        <f>+A115+1</f>
        <v>4</v>
      </c>
      <c r="B120" s="968" t="s">
        <v>448</v>
      </c>
      <c r="C120" s="988" t="s">
        <v>449</v>
      </c>
      <c r="D120" s="972" t="s">
        <v>326</v>
      </c>
      <c r="E120" s="1141">
        <f>0.011*2</f>
        <v>2.1999999999999999E-2</v>
      </c>
      <c r="F120" s="976">
        <v>19.399999999999999</v>
      </c>
      <c r="G120" s="977"/>
      <c r="H120" s="978"/>
      <c r="I120" s="976">
        <v>4</v>
      </c>
      <c r="J120" s="977"/>
      <c r="K120" s="978"/>
      <c r="L120" s="342"/>
      <c r="M120" s="697"/>
      <c r="N120" s="699"/>
      <c r="O120" s="694"/>
      <c r="P120" s="699"/>
      <c r="Q120" s="695"/>
      <c r="R120" s="696">
        <f>F121+I121</f>
        <v>58.229039999999998</v>
      </c>
      <c r="S120" s="979">
        <f>R120+R121</f>
        <v>599.9054970000002</v>
      </c>
      <c r="T120" s="1094">
        <f>E120*S120</f>
        <v>13.197920934000004</v>
      </c>
      <c r="U120" s="1144">
        <f>R121*E120</f>
        <v>11.916882054000002</v>
      </c>
      <c r="V120" s="276">
        <f t="shared" si="13"/>
        <v>796.63681175402508</v>
      </c>
      <c r="W120" s="277">
        <f t="shared" si="14"/>
        <v>17.526009858588552</v>
      </c>
      <c r="X120" s="422"/>
      <c r="Y120" s="242"/>
    </row>
    <row r="121" spans="1:38" s="157" customFormat="1" ht="13.5" customHeight="1">
      <c r="A121" s="1059"/>
      <c r="B121" s="995"/>
      <c r="C121" s="1020"/>
      <c r="D121" s="997"/>
      <c r="E121" s="1142"/>
      <c r="F121" s="1017">
        <f>F120*J$13/1000</f>
        <v>45.337799999999994</v>
      </c>
      <c r="G121" s="1072"/>
      <c r="H121" s="1016"/>
      <c r="I121" s="1017">
        <f>I120*$Q$13/1000</f>
        <v>12.89124</v>
      </c>
      <c r="J121" s="1072"/>
      <c r="K121" s="1016"/>
      <c r="L121" s="767" t="s">
        <v>446</v>
      </c>
      <c r="M121" s="253" t="s">
        <v>326</v>
      </c>
      <c r="N121" s="768">
        <v>1</v>
      </c>
      <c r="O121" s="268">
        <f>E120*N121</f>
        <v>2.1999999999999999E-2</v>
      </c>
      <c r="P121" s="253">
        <v>450</v>
      </c>
      <c r="Q121" s="236">
        <f>N121*P121*$N$11</f>
        <v>518.62639500000012</v>
      </c>
      <c r="R121" s="979">
        <f>SUM(Q121:Q122)</f>
        <v>541.67645700000014</v>
      </c>
      <c r="S121" s="1002"/>
      <c r="T121" s="1094"/>
      <c r="U121" s="1144"/>
      <c r="V121" s="276">
        <f t="shared" si="13"/>
        <v>0</v>
      </c>
      <c r="W121" s="277">
        <f t="shared" si="14"/>
        <v>0</v>
      </c>
      <c r="X121" s="422"/>
      <c r="Y121" s="242"/>
    </row>
    <row r="122" spans="1:38" s="586" customFormat="1" ht="12.75" customHeight="1">
      <c r="A122" s="1060"/>
      <c r="B122" s="969"/>
      <c r="C122" s="989"/>
      <c r="D122" s="973"/>
      <c r="E122" s="1143"/>
      <c r="F122" s="985"/>
      <c r="G122" s="986"/>
      <c r="H122" s="987"/>
      <c r="I122" s="985"/>
      <c r="J122" s="986"/>
      <c r="K122" s="987"/>
      <c r="L122" s="769" t="s">
        <v>190</v>
      </c>
      <c r="M122" s="770" t="s">
        <v>124</v>
      </c>
      <c r="N122" s="771">
        <v>20</v>
      </c>
      <c r="O122" s="772">
        <f>E120*N122</f>
        <v>0.43999999999999995</v>
      </c>
      <c r="P122" s="773">
        <v>1</v>
      </c>
      <c r="Q122" s="774">
        <f>N122*P122*$N$11</f>
        <v>23.050062000000008</v>
      </c>
      <c r="R122" s="980"/>
      <c r="S122" s="980"/>
      <c r="T122" s="1094"/>
      <c r="U122" s="1144"/>
      <c r="V122" s="276">
        <f t="shared" si="13"/>
        <v>0</v>
      </c>
      <c r="W122" s="277">
        <f t="shared" si="14"/>
        <v>0</v>
      </c>
      <c r="X122" s="422"/>
      <c r="Y122" s="725"/>
      <c r="Z122" s="725"/>
      <c r="AA122" s="725"/>
      <c r="AB122" s="725"/>
      <c r="AC122" s="725"/>
      <c r="AD122" s="725"/>
      <c r="AE122" s="725"/>
      <c r="AF122" s="725"/>
      <c r="AG122" s="725"/>
      <c r="AH122" s="725"/>
      <c r="AI122" s="725"/>
      <c r="AJ122" s="725"/>
      <c r="AK122" s="725"/>
    </row>
    <row r="123" spans="1:38" s="728" customFormat="1" ht="12.75" customHeight="1">
      <c r="A123" s="1135">
        <f>+A120+1</f>
        <v>5</v>
      </c>
      <c r="B123" s="1136" t="s">
        <v>450</v>
      </c>
      <c r="C123" s="1137" t="s">
        <v>451</v>
      </c>
      <c r="D123" s="972" t="s">
        <v>122</v>
      </c>
      <c r="E123" s="979">
        <v>12</v>
      </c>
      <c r="F123" s="999">
        <f>4.1/100</f>
        <v>4.0999999999999995E-2</v>
      </c>
      <c r="G123" s="1000"/>
      <c r="H123" s="1001"/>
      <c r="I123" s="999">
        <f>0.4/100</f>
        <v>4.0000000000000001E-3</v>
      </c>
      <c r="J123" s="1000"/>
      <c r="K123" s="1001"/>
      <c r="L123" s="269"/>
      <c r="M123" s="697"/>
      <c r="N123" s="571"/>
      <c r="O123" s="571"/>
      <c r="P123" s="571"/>
      <c r="Q123" s="572"/>
      <c r="R123" s="775">
        <f>F124+I124</f>
        <v>0.10870824</v>
      </c>
      <c r="S123" s="1138">
        <f>R123+R124</f>
        <v>0.20734543124000002</v>
      </c>
      <c r="T123" s="1138">
        <f>E123*S123</f>
        <v>2.4881451748800001</v>
      </c>
      <c r="U123" s="1145">
        <f>+R124*E123</f>
        <v>1.1836462948800002</v>
      </c>
      <c r="V123" s="276">
        <f t="shared" si="13"/>
        <v>0.27534170648680856</v>
      </c>
      <c r="W123" s="277">
        <f t="shared" si="14"/>
        <v>3.3041004778417027</v>
      </c>
      <c r="X123" s="422"/>
      <c r="Y123" s="210"/>
      <c r="Z123" s="210"/>
      <c r="AA123" s="210"/>
      <c r="AB123" s="210"/>
      <c r="AC123" s="210"/>
      <c r="AD123" s="210"/>
      <c r="AE123" s="584"/>
      <c r="AF123" s="584"/>
      <c r="AG123" s="584"/>
      <c r="AH123" s="584"/>
      <c r="AI123" s="584"/>
      <c r="AJ123" s="584"/>
      <c r="AK123" s="584"/>
      <c r="AL123" s="727"/>
    </row>
    <row r="124" spans="1:38" s="728" customFormat="1" ht="12.75" customHeight="1">
      <c r="A124" s="1135"/>
      <c r="B124" s="1136"/>
      <c r="C124" s="1137"/>
      <c r="D124" s="997"/>
      <c r="E124" s="1002"/>
      <c r="F124" s="1017">
        <f>F123*J$13/1000</f>
        <v>9.5816999999999999E-2</v>
      </c>
      <c r="G124" s="1072"/>
      <c r="H124" s="1016"/>
      <c r="I124" s="1017">
        <f>I123*$Q$13/1000</f>
        <v>1.289124E-2</v>
      </c>
      <c r="J124" s="1072"/>
      <c r="K124" s="1016"/>
      <c r="L124" s="345" t="s">
        <v>128</v>
      </c>
      <c r="M124" s="253" t="s">
        <v>124</v>
      </c>
      <c r="N124" s="577">
        <v>0.03</v>
      </c>
      <c r="O124" s="578">
        <f>E123*N124</f>
        <v>0.36</v>
      </c>
      <c r="P124" s="344">
        <f>0.542*2</f>
        <v>1.0840000000000001</v>
      </c>
      <c r="Q124" s="579">
        <f>N124*P124*$N$11</f>
        <v>3.7479400812000012E-2</v>
      </c>
      <c r="R124" s="1138">
        <f>SUM(Q124:Q125)</f>
        <v>9.8637191240000019E-2</v>
      </c>
      <c r="S124" s="1139"/>
      <c r="T124" s="1139"/>
      <c r="U124" s="1146"/>
      <c r="V124" s="276">
        <f t="shared" si="13"/>
        <v>0</v>
      </c>
      <c r="W124" s="277">
        <f t="shared" si="14"/>
        <v>0</v>
      </c>
      <c r="X124" s="422"/>
      <c r="Y124" s="210"/>
      <c r="Z124" s="210"/>
      <c r="AA124" s="210"/>
      <c r="AB124" s="210"/>
      <c r="AC124" s="210"/>
      <c r="AD124" s="210"/>
      <c r="AE124" s="584"/>
      <c r="AF124" s="584"/>
      <c r="AG124" s="584"/>
      <c r="AH124" s="584"/>
      <c r="AI124" s="584"/>
      <c r="AJ124" s="584"/>
      <c r="AK124" s="584"/>
      <c r="AL124" s="727"/>
    </row>
    <row r="125" spans="1:38" s="728" customFormat="1" ht="12.75" customHeight="1">
      <c r="A125" s="1135"/>
      <c r="B125" s="1136"/>
      <c r="C125" s="1137"/>
      <c r="D125" s="973"/>
      <c r="E125" s="980"/>
      <c r="F125" s="985"/>
      <c r="G125" s="986"/>
      <c r="H125" s="987"/>
      <c r="I125" s="985"/>
      <c r="J125" s="986"/>
      <c r="K125" s="987"/>
      <c r="L125" s="346" t="s">
        <v>452</v>
      </c>
      <c r="M125" s="257" t="s">
        <v>124</v>
      </c>
      <c r="N125" s="573">
        <f>17.2/100</f>
        <v>0.17199999999999999</v>
      </c>
      <c r="O125" s="574">
        <f>E123*N125</f>
        <v>2.0640000000000001</v>
      </c>
      <c r="P125" s="358">
        <f>0.833/2.7</f>
        <v>0.30851851851851847</v>
      </c>
      <c r="Q125" s="575">
        <f>N125*P125*$N$11</f>
        <v>6.1157790428000007E-2</v>
      </c>
      <c r="R125" s="1140"/>
      <c r="S125" s="1140"/>
      <c r="T125" s="1140"/>
      <c r="U125" s="1147"/>
      <c r="V125" s="276">
        <f t="shared" si="13"/>
        <v>0</v>
      </c>
      <c r="W125" s="277">
        <f t="shared" si="14"/>
        <v>0</v>
      </c>
      <c r="X125" s="422"/>
      <c r="Y125" s="210"/>
      <c r="Z125" s="210"/>
      <c r="AA125" s="210"/>
      <c r="AB125" s="210"/>
      <c r="AC125" s="210"/>
      <c r="AD125" s="210"/>
      <c r="AE125" s="584"/>
      <c r="AF125" s="584"/>
      <c r="AG125" s="584"/>
      <c r="AH125" s="584"/>
      <c r="AI125" s="584"/>
      <c r="AJ125" s="584"/>
      <c r="AK125" s="584"/>
      <c r="AL125" s="727"/>
    </row>
    <row r="126" spans="1:38" s="570" customFormat="1" ht="12.75" customHeight="1">
      <c r="A126" s="1125">
        <f>+A123+1</f>
        <v>6</v>
      </c>
      <c r="B126" s="1076" t="s">
        <v>453</v>
      </c>
      <c r="C126" s="1079" t="s">
        <v>454</v>
      </c>
      <c r="D126" s="1128" t="s">
        <v>122</v>
      </c>
      <c r="E126" s="1131">
        <f>+E123</f>
        <v>12</v>
      </c>
      <c r="F126" s="1134">
        <v>0.38400000000000001</v>
      </c>
      <c r="G126" s="1134"/>
      <c r="H126" s="1134"/>
      <c r="I126" s="1148">
        <f>0.03/100</f>
        <v>2.9999999999999997E-4</v>
      </c>
      <c r="J126" s="1149"/>
      <c r="K126" s="1150"/>
      <c r="L126" s="342"/>
      <c r="M126" s="697"/>
      <c r="N126" s="469"/>
      <c r="O126" s="699"/>
      <c r="P126" s="699"/>
      <c r="Q126" s="695"/>
      <c r="R126" s="693">
        <f>F127+I127</f>
        <v>0.89837484300000003</v>
      </c>
      <c r="S126" s="1070">
        <f>R126+R127</f>
        <v>1.2775702604589001</v>
      </c>
      <c r="T126" s="1070">
        <f>E126*S126</f>
        <v>15.330843125506801</v>
      </c>
      <c r="U126" s="1095">
        <f>R127*E126</f>
        <v>4.5503450095068017</v>
      </c>
      <c r="V126" s="276">
        <f t="shared" si="13"/>
        <v>1.6965330442433624</v>
      </c>
      <c r="W126" s="277">
        <f t="shared" si="14"/>
        <v>20.358396530920349</v>
      </c>
      <c r="X126" s="422"/>
      <c r="Y126" s="210"/>
      <c r="Z126" s="210"/>
      <c r="AA126" s="210"/>
      <c r="AB126" s="210"/>
      <c r="AC126" s="210"/>
      <c r="AD126" s="210"/>
      <c r="AE126" s="584"/>
      <c r="AF126" s="584"/>
      <c r="AG126" s="584"/>
      <c r="AH126" s="584"/>
      <c r="AI126" s="584"/>
      <c r="AJ126" s="584"/>
      <c r="AK126" s="584"/>
    </row>
    <row r="127" spans="1:38" s="570" customFormat="1" ht="12.75" customHeight="1">
      <c r="A127" s="1126"/>
      <c r="B127" s="1077"/>
      <c r="C127" s="1080"/>
      <c r="D127" s="1129"/>
      <c r="E127" s="1132"/>
      <c r="F127" s="1134">
        <f>F126*J$13/1000</f>
        <v>0.89740799999999998</v>
      </c>
      <c r="G127" s="1134"/>
      <c r="H127" s="1134"/>
      <c r="I127" s="1134">
        <f>I126*$Q$13/1000</f>
        <v>9.6684299999999989E-4</v>
      </c>
      <c r="J127" s="1134"/>
      <c r="K127" s="1134"/>
      <c r="L127" s="345" t="s">
        <v>130</v>
      </c>
      <c r="M127" s="253" t="s">
        <v>124</v>
      </c>
      <c r="N127" s="268">
        <v>0.246</v>
      </c>
      <c r="O127" s="343">
        <f>E126*N127</f>
        <v>2.952</v>
      </c>
      <c r="P127" s="243">
        <v>1.25</v>
      </c>
      <c r="Q127" s="236">
        <f>N127*P127*$N$11</f>
        <v>0.35439470325000011</v>
      </c>
      <c r="R127" s="1070">
        <f>SUM(Q127:Q128)</f>
        <v>0.37919541745890012</v>
      </c>
      <c r="S127" s="1070"/>
      <c r="T127" s="1070"/>
      <c r="U127" s="1095"/>
      <c r="V127" s="276">
        <f t="shared" si="13"/>
        <v>0</v>
      </c>
      <c r="W127" s="277">
        <f t="shared" si="14"/>
        <v>0</v>
      </c>
      <c r="X127" s="422"/>
      <c r="Y127" s="210"/>
      <c r="Z127" s="210"/>
      <c r="AA127" s="210"/>
      <c r="AB127" s="210"/>
      <c r="AC127" s="210"/>
      <c r="AD127" s="210"/>
      <c r="AE127" s="584"/>
      <c r="AF127" s="584"/>
      <c r="AG127" s="584"/>
      <c r="AH127" s="584"/>
      <c r="AI127" s="584"/>
      <c r="AJ127" s="584"/>
      <c r="AK127" s="584"/>
    </row>
    <row r="128" spans="1:38" s="570" customFormat="1" ht="12.75" customHeight="1">
      <c r="A128" s="1127"/>
      <c r="B128" s="1078"/>
      <c r="C128" s="1081"/>
      <c r="D128" s="1130"/>
      <c r="E128" s="1133"/>
      <c r="F128" s="1134"/>
      <c r="G128" s="1134"/>
      <c r="H128" s="1134"/>
      <c r="I128" s="1134"/>
      <c r="J128" s="1134"/>
      <c r="K128" s="1134"/>
      <c r="L128" s="346" t="s">
        <v>329</v>
      </c>
      <c r="M128" s="460" t="s">
        <v>124</v>
      </c>
      <c r="N128" s="470">
        <v>2.7E-2</v>
      </c>
      <c r="O128" s="259">
        <f>E126*N128</f>
        <v>0.32400000000000001</v>
      </c>
      <c r="P128" s="766">
        <v>0.79700000000000004</v>
      </c>
      <c r="Q128" s="261">
        <f>N128*P128*$N$11</f>
        <v>2.4800714208900006E-2</v>
      </c>
      <c r="R128" s="1070"/>
      <c r="S128" s="1070"/>
      <c r="T128" s="1070"/>
      <c r="U128" s="1095"/>
      <c r="V128" s="276">
        <f t="shared" si="13"/>
        <v>0</v>
      </c>
      <c r="W128" s="277">
        <f t="shared" si="14"/>
        <v>0</v>
      </c>
      <c r="X128" s="422"/>
      <c r="Y128" s="210"/>
      <c r="Z128" s="210"/>
      <c r="AA128" s="210"/>
      <c r="AB128" s="210"/>
      <c r="AC128" s="210"/>
      <c r="AD128" s="210"/>
      <c r="AE128" s="584"/>
      <c r="AF128" s="584"/>
      <c r="AG128" s="584"/>
      <c r="AH128" s="584"/>
      <c r="AI128" s="584"/>
      <c r="AJ128" s="584"/>
      <c r="AK128" s="584"/>
    </row>
    <row r="129" spans="1:44" s="280" customFormat="1" ht="13.5" customHeight="1">
      <c r="A129" s="278"/>
      <c r="B129" s="279"/>
      <c r="C129" s="1179" t="s">
        <v>325</v>
      </c>
      <c r="D129" s="1180"/>
      <c r="E129" s="1180"/>
      <c r="F129" s="1180"/>
      <c r="G129" s="1180"/>
      <c r="H129" s="1180"/>
      <c r="I129" s="1180"/>
      <c r="J129" s="1180"/>
      <c r="K129" s="1180"/>
      <c r="L129" s="1180"/>
      <c r="M129" s="1180"/>
      <c r="N129" s="1180"/>
      <c r="O129" s="1180"/>
      <c r="P129" s="1180"/>
      <c r="Q129" s="1180"/>
      <c r="R129" s="1180"/>
      <c r="S129" s="1180"/>
      <c r="T129" s="1180"/>
      <c r="U129" s="1180"/>
      <c r="V129" s="1181"/>
      <c r="W129" s="462">
        <f>SUM(W21:W128)</f>
        <v>23697.843779925486</v>
      </c>
      <c r="Y129" s="564"/>
      <c r="Z129" s="159"/>
      <c r="AA129" s="159"/>
      <c r="AB129" s="159"/>
      <c r="AC129" s="159"/>
      <c r="AD129" s="159"/>
      <c r="AE129" s="159"/>
      <c r="AF129" s="159"/>
      <c r="AG129" s="159"/>
      <c r="AH129" s="159"/>
      <c r="AI129" s="159"/>
      <c r="AJ129" s="159"/>
      <c r="AK129" s="159"/>
      <c r="AL129" s="159"/>
      <c r="AM129" s="159"/>
      <c r="AN129" s="159"/>
      <c r="AO129" s="159"/>
      <c r="AP129" s="159"/>
      <c r="AQ129" s="159"/>
      <c r="AR129" s="159"/>
    </row>
    <row r="130" spans="1:44" s="280" customFormat="1" ht="14.25" hidden="1" customHeight="1">
      <c r="A130" s="281"/>
      <c r="B130" s="282"/>
      <c r="C130" s="309" t="s">
        <v>119</v>
      </c>
      <c r="D130" s="283"/>
      <c r="E130" s="284"/>
      <c r="F130" s="285"/>
      <c r="G130" s="286"/>
      <c r="H130" s="285"/>
      <c r="I130" s="285"/>
      <c r="J130" s="286"/>
      <c r="K130" s="285"/>
      <c r="L130" s="287"/>
      <c r="M130" s="288"/>
      <c r="N130" s="289"/>
      <c r="O130" s="290"/>
      <c r="P130" s="285"/>
      <c r="Q130" s="286"/>
      <c r="R130" s="290"/>
      <c r="S130" s="290"/>
      <c r="T130" s="291"/>
      <c r="U130" s="292"/>
      <c r="V130" s="293"/>
      <c r="W130" s="294">
        <f>W129*D130</f>
        <v>0</v>
      </c>
      <c r="X130" s="362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/>
      <c r="AQ130" s="159"/>
      <c r="AR130" s="159"/>
    </row>
    <row r="131" spans="1:44" s="280" customFormat="1" ht="10.5" hidden="1" customHeight="1">
      <c r="A131" s="281"/>
      <c r="B131" s="282"/>
      <c r="C131" s="309" t="s">
        <v>117</v>
      </c>
      <c r="D131" s="283"/>
      <c r="E131" s="290"/>
      <c r="F131" s="285"/>
      <c r="G131" s="286"/>
      <c r="H131" s="285"/>
      <c r="I131" s="285"/>
      <c r="J131" s="286"/>
      <c r="K131" s="285"/>
      <c r="L131" s="287"/>
      <c r="M131" s="288"/>
      <c r="N131" s="289"/>
      <c r="O131" s="290"/>
      <c r="P131" s="285"/>
      <c r="Q131" s="286"/>
      <c r="R131" s="290"/>
      <c r="S131" s="290"/>
      <c r="T131" s="291"/>
      <c r="U131" s="292"/>
      <c r="V131" s="295"/>
      <c r="W131" s="294">
        <f>SUM(W129:W130)</f>
        <v>23697.843779925486</v>
      </c>
      <c r="X131" s="362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R131" s="159"/>
    </row>
    <row r="132" spans="1:44" s="280" customFormat="1" ht="17.25" customHeight="1">
      <c r="A132" s="281"/>
      <c r="B132" s="282"/>
      <c r="C132" s="309" t="s">
        <v>135</v>
      </c>
      <c r="D132" s="283"/>
      <c r="E132" s="290"/>
      <c r="F132" s="285"/>
      <c r="G132" s="286"/>
      <c r="H132" s="285"/>
      <c r="I132" s="285"/>
      <c r="J132" s="286"/>
      <c r="K132" s="285"/>
      <c r="L132" s="287"/>
      <c r="M132" s="288"/>
      <c r="N132" s="289"/>
      <c r="O132" s="290"/>
      <c r="P132" s="285"/>
      <c r="Q132" s="286"/>
      <c r="R132" s="290"/>
      <c r="S132" s="290"/>
      <c r="T132" s="291"/>
      <c r="U132" s="292"/>
      <c r="V132" s="295"/>
      <c r="W132" s="294">
        <f>+'ԱՄՓՈՓ  '!F34</f>
        <v>0</v>
      </c>
      <c r="X132" s="362">
        <f>+W132/W133</f>
        <v>0</v>
      </c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159"/>
    </row>
    <row r="133" spans="1:44" s="280" customFormat="1" ht="15" customHeight="1">
      <c r="A133" s="281"/>
      <c r="B133" s="282"/>
      <c r="C133" s="309" t="s">
        <v>117</v>
      </c>
      <c r="D133" s="283"/>
      <c r="E133" s="290"/>
      <c r="F133" s="285"/>
      <c r="G133" s="286"/>
      <c r="H133" s="285"/>
      <c r="I133" s="285"/>
      <c r="J133" s="286"/>
      <c r="K133" s="285"/>
      <c r="L133" s="287"/>
      <c r="M133" s="288"/>
      <c r="N133" s="289"/>
      <c r="O133" s="290"/>
      <c r="P133" s="285"/>
      <c r="Q133" s="286"/>
      <c r="R133" s="290"/>
      <c r="S133" s="290"/>
      <c r="T133" s="291"/>
      <c r="U133" s="292"/>
      <c r="V133" s="295"/>
      <c r="W133" s="294">
        <f>+W131+W132</f>
        <v>23697.843779925486</v>
      </c>
      <c r="X133" s="365">
        <f>SUM(X21:X132)</f>
        <v>1</v>
      </c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  <c r="AQ133" s="159"/>
      <c r="AR133" s="159"/>
    </row>
    <row r="134" spans="1:44" s="280" customFormat="1" ht="13.5" customHeight="1">
      <c r="A134" s="281"/>
      <c r="B134" s="282"/>
      <c r="C134" s="309" t="s">
        <v>55</v>
      </c>
      <c r="D134" s="283">
        <v>0.2</v>
      </c>
      <c r="E134" s="290"/>
      <c r="F134" s="285"/>
      <c r="G134" s="286"/>
      <c r="H134" s="285"/>
      <c r="I134" s="285"/>
      <c r="J134" s="286"/>
      <c r="K134" s="285"/>
      <c r="L134" s="287"/>
      <c r="M134" s="288"/>
      <c r="N134" s="289"/>
      <c r="O134" s="290"/>
      <c r="P134" s="285"/>
      <c r="Q134" s="286"/>
      <c r="R134" s="290"/>
      <c r="S134" s="290"/>
      <c r="T134" s="291"/>
      <c r="U134" s="292"/>
      <c r="V134" s="295"/>
      <c r="W134" s="294">
        <f>+(W133)*D134</f>
        <v>4739.5687559850976</v>
      </c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59"/>
      <c r="AQ134" s="159"/>
      <c r="AR134" s="159"/>
    </row>
    <row r="135" spans="1:44" s="280" customFormat="1" ht="13.5" customHeight="1">
      <c r="A135" s="281"/>
      <c r="B135" s="282"/>
      <c r="C135" s="310" t="s">
        <v>136</v>
      </c>
      <c r="D135" s="296"/>
      <c r="E135" s="290"/>
      <c r="F135" s="285"/>
      <c r="G135" s="286"/>
      <c r="H135" s="285"/>
      <c r="I135" s="285"/>
      <c r="J135" s="286"/>
      <c r="K135" s="285"/>
      <c r="L135" s="287"/>
      <c r="M135" s="288"/>
      <c r="N135" s="289"/>
      <c r="O135" s="290"/>
      <c r="P135" s="285"/>
      <c r="Q135" s="286"/>
      <c r="R135" s="290"/>
      <c r="S135" s="290"/>
      <c r="T135" s="291"/>
      <c r="U135" s="292"/>
      <c r="V135" s="295"/>
      <c r="W135" s="297">
        <f>SUM(W133:W134)</f>
        <v>28437.412535910582</v>
      </c>
      <c r="X135" s="362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59"/>
    </row>
    <row r="136" spans="1:44" s="280" customFormat="1" ht="14.25" customHeight="1" thickBot="1">
      <c r="A136" s="359"/>
      <c r="B136" s="298"/>
      <c r="C136" s="310" t="s">
        <v>121</v>
      </c>
      <c r="D136" s="299"/>
      <c r="E136" s="300"/>
      <c r="F136" s="301"/>
      <c r="G136" s="302"/>
      <c r="H136" s="301"/>
      <c r="I136" s="301"/>
      <c r="J136" s="302"/>
      <c r="K136" s="301"/>
      <c r="L136" s="303"/>
      <c r="M136" s="304"/>
      <c r="N136" s="305"/>
      <c r="O136" s="306"/>
      <c r="P136" s="305"/>
      <c r="Q136" s="306"/>
      <c r="R136" s="306"/>
      <c r="S136" s="306"/>
      <c r="T136" s="307"/>
      <c r="U136" s="306"/>
      <c r="V136" s="308"/>
      <c r="W136" s="463">
        <f>+W135</f>
        <v>28437.412535910582</v>
      </c>
      <c r="X136" s="363"/>
      <c r="Y136" s="464">
        <f>+'ԱՄՓՈՓ  '!D67+'ԱՄՓՈՓ  '!F35*1.2</f>
        <v>28437.412535910571</v>
      </c>
      <c r="Z136" s="464">
        <f>+W136-Y136</f>
        <v>0</v>
      </c>
      <c r="AA136" s="159"/>
      <c r="AB136" s="159"/>
      <c r="AC136" s="159"/>
      <c r="AD136" s="159"/>
      <c r="AE136" s="159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159"/>
    </row>
    <row r="137" spans="1:44" s="158" customFormat="1" ht="21" customHeight="1" thickTop="1">
      <c r="A137" s="160"/>
      <c r="B137" s="161"/>
      <c r="C137" s="1182" t="s">
        <v>146</v>
      </c>
      <c r="D137" s="1182"/>
      <c r="E137" s="1182"/>
      <c r="F137" s="1182"/>
      <c r="G137" s="1182"/>
      <c r="H137" s="1182"/>
      <c r="I137" s="1182"/>
      <c r="J137" s="1182"/>
      <c r="K137" s="1182"/>
      <c r="L137" s="1182"/>
      <c r="M137" s="1182"/>
      <c r="N137" s="1182"/>
      <c r="O137" s="1182"/>
      <c r="P137" s="1182"/>
      <c r="Q137" s="1182"/>
      <c r="R137" s="1182"/>
      <c r="S137" s="1182"/>
      <c r="T137" s="1182"/>
      <c r="U137" s="1182"/>
      <c r="V137" s="1182"/>
      <c r="W137" s="1182"/>
      <c r="X137" s="362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59"/>
      <c r="AQ137" s="159"/>
      <c r="AR137" s="159"/>
    </row>
    <row r="139" spans="1:44">
      <c r="V139" s="667">
        <f>+$V$14*(S139-P140)</f>
        <v>0</v>
      </c>
      <c r="W139" s="668" t="s">
        <v>229</v>
      </c>
    </row>
  </sheetData>
  <mergeCells count="618">
    <mergeCell ref="F20:H20"/>
    <mergeCell ref="I20:K20"/>
    <mergeCell ref="P16:P19"/>
    <mergeCell ref="Q16:Q19"/>
    <mergeCell ref="I14:K14"/>
    <mergeCell ref="E15:E19"/>
    <mergeCell ref="F15:H19"/>
    <mergeCell ref="C129:V129"/>
    <mergeCell ref="C137:W137"/>
    <mergeCell ref="W15:W19"/>
    <mergeCell ref="I15:K19"/>
    <mergeCell ref="S15:S19"/>
    <mergeCell ref="T15:T19"/>
    <mergeCell ref="U15:U19"/>
    <mergeCell ref="V15:V19"/>
    <mergeCell ref="C15:C19"/>
    <mergeCell ref="D15:D19"/>
    <mergeCell ref="N16:N19"/>
    <mergeCell ref="O16:O19"/>
    <mergeCell ref="D27:D28"/>
    <mergeCell ref="E27:E28"/>
    <mergeCell ref="F27:H27"/>
    <mergeCell ref="I27:K27"/>
    <mergeCell ref="R27:R28"/>
    <mergeCell ref="A15:A19"/>
    <mergeCell ref="B15:B19"/>
    <mergeCell ref="A1:X1"/>
    <mergeCell ref="P10:R10"/>
    <mergeCell ref="D11:F11"/>
    <mergeCell ref="N11:P11"/>
    <mergeCell ref="A13:C13"/>
    <mergeCell ref="E13:I13"/>
    <mergeCell ref="J13:L13"/>
    <mergeCell ref="M13:P13"/>
    <mergeCell ref="Q13:S13"/>
    <mergeCell ref="A2:C2"/>
    <mergeCell ref="E6:R6"/>
    <mergeCell ref="E7:R7"/>
    <mergeCell ref="A9:B9"/>
    <mergeCell ref="P9:R9"/>
    <mergeCell ref="A4:V4"/>
    <mergeCell ref="E10:G10"/>
    <mergeCell ref="L15:Q15"/>
    <mergeCell ref="R15:R19"/>
    <mergeCell ref="L16:L19"/>
    <mergeCell ref="M16:M19"/>
    <mergeCell ref="X15:X19"/>
    <mergeCell ref="A23:A24"/>
    <mergeCell ref="B23:B24"/>
    <mergeCell ref="C23:C24"/>
    <mergeCell ref="D23:D24"/>
    <mergeCell ref="E23:E24"/>
    <mergeCell ref="F23:H23"/>
    <mergeCell ref="I23:K23"/>
    <mergeCell ref="R23:R24"/>
    <mergeCell ref="S23:S24"/>
    <mergeCell ref="A25:A26"/>
    <mergeCell ref="B25:B26"/>
    <mergeCell ref="C25:C26"/>
    <mergeCell ref="D25:D26"/>
    <mergeCell ref="E25:E26"/>
    <mergeCell ref="F25:H25"/>
    <mergeCell ref="I25:K25"/>
    <mergeCell ref="R25:R26"/>
    <mergeCell ref="S25:S26"/>
    <mergeCell ref="F26:H26"/>
    <mergeCell ref="I26:K26"/>
    <mergeCell ref="S27:S28"/>
    <mergeCell ref="T23:T24"/>
    <mergeCell ref="U23:U24"/>
    <mergeCell ref="F24:H24"/>
    <mergeCell ref="I24:K24"/>
    <mergeCell ref="T25:T26"/>
    <mergeCell ref="U25:U26"/>
    <mergeCell ref="F31:H31"/>
    <mergeCell ref="I31:K31"/>
    <mergeCell ref="R31:R32"/>
    <mergeCell ref="S31:S32"/>
    <mergeCell ref="T27:T28"/>
    <mergeCell ref="U27:U28"/>
    <mergeCell ref="F28:H28"/>
    <mergeCell ref="I28:K28"/>
    <mergeCell ref="T29:T30"/>
    <mergeCell ref="U29:U30"/>
    <mergeCell ref="A29:A30"/>
    <mergeCell ref="B29:B30"/>
    <mergeCell ref="C29:C30"/>
    <mergeCell ref="D29:D30"/>
    <mergeCell ref="E29:E30"/>
    <mergeCell ref="F29:H29"/>
    <mergeCell ref="I29:K29"/>
    <mergeCell ref="R29:R30"/>
    <mergeCell ref="S29:S30"/>
    <mergeCell ref="F30:H30"/>
    <mergeCell ref="I30:K30"/>
    <mergeCell ref="A27:A28"/>
    <mergeCell ref="B27:B28"/>
    <mergeCell ref="C27:C28"/>
    <mergeCell ref="R35:R36"/>
    <mergeCell ref="S35:S36"/>
    <mergeCell ref="T31:T32"/>
    <mergeCell ref="U31:U32"/>
    <mergeCell ref="F32:H32"/>
    <mergeCell ref="I32:K32"/>
    <mergeCell ref="A33:A34"/>
    <mergeCell ref="B33:B34"/>
    <mergeCell ref="C33:C34"/>
    <mergeCell ref="D33:D34"/>
    <mergeCell ref="E33:E34"/>
    <mergeCell ref="F33:H33"/>
    <mergeCell ref="I33:K33"/>
    <mergeCell ref="R33:R34"/>
    <mergeCell ref="S33:S34"/>
    <mergeCell ref="T33:T34"/>
    <mergeCell ref="U33:U34"/>
    <mergeCell ref="F34:H34"/>
    <mergeCell ref="I34:K34"/>
    <mergeCell ref="A31:A32"/>
    <mergeCell ref="B31:B32"/>
    <mergeCell ref="C31:C32"/>
    <mergeCell ref="D31:D32"/>
    <mergeCell ref="E31:E32"/>
    <mergeCell ref="T35:T36"/>
    <mergeCell ref="U35:U36"/>
    <mergeCell ref="F36:H36"/>
    <mergeCell ref="I36:K36"/>
    <mergeCell ref="A37:A38"/>
    <mergeCell ref="B37:B38"/>
    <mergeCell ref="C37:C38"/>
    <mergeCell ref="D37:D38"/>
    <mergeCell ref="E37:E38"/>
    <mergeCell ref="F37:H37"/>
    <mergeCell ref="I37:K37"/>
    <mergeCell ref="R37:R38"/>
    <mergeCell ref="S37:S38"/>
    <mergeCell ref="T37:T38"/>
    <mergeCell ref="U37:U38"/>
    <mergeCell ref="F38:H38"/>
    <mergeCell ref="I38:K38"/>
    <mergeCell ref="A35:A36"/>
    <mergeCell ref="B35:B36"/>
    <mergeCell ref="C35:C36"/>
    <mergeCell ref="D35:D36"/>
    <mergeCell ref="E35:E36"/>
    <mergeCell ref="F35:H35"/>
    <mergeCell ref="I35:K35"/>
    <mergeCell ref="A39:A40"/>
    <mergeCell ref="B39:B40"/>
    <mergeCell ref="C39:C40"/>
    <mergeCell ref="D39:D40"/>
    <mergeCell ref="E39:E40"/>
    <mergeCell ref="F39:H39"/>
    <mergeCell ref="I39:K39"/>
    <mergeCell ref="D43:D44"/>
    <mergeCell ref="E43:E44"/>
    <mergeCell ref="F43:H43"/>
    <mergeCell ref="I43:K43"/>
    <mergeCell ref="R43:R44"/>
    <mergeCell ref="S43:S44"/>
    <mergeCell ref="R39:R40"/>
    <mergeCell ref="S39:S40"/>
    <mergeCell ref="A41:A42"/>
    <mergeCell ref="B41:B42"/>
    <mergeCell ref="C41:C42"/>
    <mergeCell ref="D41:D42"/>
    <mergeCell ref="E41:E42"/>
    <mergeCell ref="F41:H41"/>
    <mergeCell ref="I41:K41"/>
    <mergeCell ref="S41:S42"/>
    <mergeCell ref="A43:A44"/>
    <mergeCell ref="B43:B44"/>
    <mergeCell ref="C43:C44"/>
    <mergeCell ref="T39:T40"/>
    <mergeCell ref="U39:U40"/>
    <mergeCell ref="F40:H40"/>
    <mergeCell ref="I40:K40"/>
    <mergeCell ref="U41:U42"/>
    <mergeCell ref="F47:H47"/>
    <mergeCell ref="I47:K47"/>
    <mergeCell ref="R47:R48"/>
    <mergeCell ref="S47:S48"/>
    <mergeCell ref="T43:T44"/>
    <mergeCell ref="U43:U44"/>
    <mergeCell ref="F44:H44"/>
    <mergeCell ref="I44:K44"/>
    <mergeCell ref="T45:T46"/>
    <mergeCell ref="U45:U46"/>
    <mergeCell ref="T41:T42"/>
    <mergeCell ref="F42:H42"/>
    <mergeCell ref="I42:K42"/>
    <mergeCell ref="A45:A46"/>
    <mergeCell ref="B45:B46"/>
    <mergeCell ref="C45:C46"/>
    <mergeCell ref="D45:D46"/>
    <mergeCell ref="E45:E46"/>
    <mergeCell ref="F45:H45"/>
    <mergeCell ref="I45:K45"/>
    <mergeCell ref="R45:R46"/>
    <mergeCell ref="S45:S46"/>
    <mergeCell ref="F46:H46"/>
    <mergeCell ref="I46:K46"/>
    <mergeCell ref="T51:T52"/>
    <mergeCell ref="U51:U52"/>
    <mergeCell ref="F52:H52"/>
    <mergeCell ref="I52:K52"/>
    <mergeCell ref="T47:T48"/>
    <mergeCell ref="U47:U48"/>
    <mergeCell ref="F48:H48"/>
    <mergeCell ref="I48:K48"/>
    <mergeCell ref="A49:A50"/>
    <mergeCell ref="B49:B50"/>
    <mergeCell ref="C49:C50"/>
    <mergeCell ref="D49:D50"/>
    <mergeCell ref="E49:E50"/>
    <mergeCell ref="F49:H49"/>
    <mergeCell ref="I49:K49"/>
    <mergeCell ref="R49:R50"/>
    <mergeCell ref="S49:S50"/>
    <mergeCell ref="T49:T50"/>
    <mergeCell ref="U49:U50"/>
    <mergeCell ref="A47:A48"/>
    <mergeCell ref="B47:B48"/>
    <mergeCell ref="C47:C48"/>
    <mergeCell ref="D47:D48"/>
    <mergeCell ref="E47:E48"/>
    <mergeCell ref="I54:K54"/>
    <mergeCell ref="R54:R55"/>
    <mergeCell ref="S54:S55"/>
    <mergeCell ref="F50:H50"/>
    <mergeCell ref="I50:K50"/>
    <mergeCell ref="A51:A52"/>
    <mergeCell ref="B51:B52"/>
    <mergeCell ref="C51:C52"/>
    <mergeCell ref="D51:D52"/>
    <mergeCell ref="E51:E52"/>
    <mergeCell ref="F51:H51"/>
    <mergeCell ref="I51:K51"/>
    <mergeCell ref="R51:R52"/>
    <mergeCell ref="S51:S52"/>
    <mergeCell ref="S58:S61"/>
    <mergeCell ref="T58:T61"/>
    <mergeCell ref="T54:T55"/>
    <mergeCell ref="U54:U55"/>
    <mergeCell ref="F55:H55"/>
    <mergeCell ref="I55:K55"/>
    <mergeCell ref="A56:A57"/>
    <mergeCell ref="B56:B57"/>
    <mergeCell ref="C56:C57"/>
    <mergeCell ref="D56:D57"/>
    <mergeCell ref="E56:E57"/>
    <mergeCell ref="F56:H56"/>
    <mergeCell ref="I56:K56"/>
    <mergeCell ref="S56:S57"/>
    <mergeCell ref="T56:T57"/>
    <mergeCell ref="U56:U57"/>
    <mergeCell ref="F57:H57"/>
    <mergeCell ref="I57:K57"/>
    <mergeCell ref="A54:A55"/>
    <mergeCell ref="B54:B55"/>
    <mergeCell ref="C54:C55"/>
    <mergeCell ref="D54:D55"/>
    <mergeCell ref="E54:E55"/>
    <mergeCell ref="F54:H54"/>
    <mergeCell ref="T64:T65"/>
    <mergeCell ref="U58:U61"/>
    <mergeCell ref="F59:H61"/>
    <mergeCell ref="I59:K61"/>
    <mergeCell ref="R59:R61"/>
    <mergeCell ref="A62:A63"/>
    <mergeCell ref="B62:B63"/>
    <mergeCell ref="C62:C63"/>
    <mergeCell ref="D62:D63"/>
    <mergeCell ref="E62:E63"/>
    <mergeCell ref="F62:H62"/>
    <mergeCell ref="I62:K62"/>
    <mergeCell ref="S62:S63"/>
    <mergeCell ref="T62:T63"/>
    <mergeCell ref="U62:U63"/>
    <mergeCell ref="F63:H63"/>
    <mergeCell ref="I63:K63"/>
    <mergeCell ref="A58:A61"/>
    <mergeCell ref="B58:B61"/>
    <mergeCell ref="C58:C61"/>
    <mergeCell ref="D58:D61"/>
    <mergeCell ref="E58:E61"/>
    <mergeCell ref="F58:H58"/>
    <mergeCell ref="I58:K58"/>
    <mergeCell ref="T68:T71"/>
    <mergeCell ref="U64:U65"/>
    <mergeCell ref="F65:H65"/>
    <mergeCell ref="I65:K65"/>
    <mergeCell ref="A66:A67"/>
    <mergeCell ref="B66:B67"/>
    <mergeCell ref="C66:C67"/>
    <mergeCell ref="D66:D67"/>
    <mergeCell ref="E66:E67"/>
    <mergeCell ref="F66:H66"/>
    <mergeCell ref="I66:K66"/>
    <mergeCell ref="S66:S67"/>
    <mergeCell ref="T66:T67"/>
    <mergeCell ref="U66:U67"/>
    <mergeCell ref="F67:H67"/>
    <mergeCell ref="I67:K67"/>
    <mergeCell ref="A64:A65"/>
    <mergeCell ref="B64:B65"/>
    <mergeCell ref="C64:C65"/>
    <mergeCell ref="D64:D65"/>
    <mergeCell ref="E64:E65"/>
    <mergeCell ref="F64:H64"/>
    <mergeCell ref="I64:K64"/>
    <mergeCell ref="S64:S65"/>
    <mergeCell ref="U68:U71"/>
    <mergeCell ref="F69:H71"/>
    <mergeCell ref="I69:K71"/>
    <mergeCell ref="R69:R71"/>
    <mergeCell ref="A72:A73"/>
    <mergeCell ref="B72:B73"/>
    <mergeCell ref="C72:C73"/>
    <mergeCell ref="D72:D73"/>
    <mergeCell ref="E72:E73"/>
    <mergeCell ref="F72:H72"/>
    <mergeCell ref="I72:K72"/>
    <mergeCell ref="S72:S73"/>
    <mergeCell ref="T72:T73"/>
    <mergeCell ref="U72:U73"/>
    <mergeCell ref="F73:H73"/>
    <mergeCell ref="I73:K73"/>
    <mergeCell ref="A68:A71"/>
    <mergeCell ref="B68:B71"/>
    <mergeCell ref="C68:C71"/>
    <mergeCell ref="D68:D71"/>
    <mergeCell ref="E68:E71"/>
    <mergeCell ref="F68:H68"/>
    <mergeCell ref="I68:K68"/>
    <mergeCell ref="S68:S71"/>
    <mergeCell ref="U74:U75"/>
    <mergeCell ref="F75:H75"/>
    <mergeCell ref="I75:K75"/>
    <mergeCell ref="A76:A77"/>
    <mergeCell ref="B76:B77"/>
    <mergeCell ref="C76:C77"/>
    <mergeCell ref="D76:D77"/>
    <mergeCell ref="E76:E77"/>
    <mergeCell ref="F76:H76"/>
    <mergeCell ref="I76:K76"/>
    <mergeCell ref="S76:S77"/>
    <mergeCell ref="T76:T77"/>
    <mergeCell ref="U76:U77"/>
    <mergeCell ref="F77:H77"/>
    <mergeCell ref="I77:K77"/>
    <mergeCell ref="A74:A75"/>
    <mergeCell ref="B74:B75"/>
    <mergeCell ref="C74:C75"/>
    <mergeCell ref="D74:D75"/>
    <mergeCell ref="E74:E75"/>
    <mergeCell ref="F74:H74"/>
    <mergeCell ref="I74:K74"/>
    <mergeCell ref="S74:S75"/>
    <mergeCell ref="T74:T75"/>
    <mergeCell ref="U78:U79"/>
    <mergeCell ref="F79:H79"/>
    <mergeCell ref="I79:K79"/>
    <mergeCell ref="A80:A81"/>
    <mergeCell ref="B80:B81"/>
    <mergeCell ref="C80:C81"/>
    <mergeCell ref="D80:D81"/>
    <mergeCell ref="E80:E81"/>
    <mergeCell ref="F80:H80"/>
    <mergeCell ref="I80:K80"/>
    <mergeCell ref="S80:S81"/>
    <mergeCell ref="T80:T81"/>
    <mergeCell ref="U80:U81"/>
    <mergeCell ref="F81:H81"/>
    <mergeCell ref="I81:K81"/>
    <mergeCell ref="A78:A79"/>
    <mergeCell ref="B78:B79"/>
    <mergeCell ref="C78:C79"/>
    <mergeCell ref="D78:D79"/>
    <mergeCell ref="E78:E79"/>
    <mergeCell ref="F78:H78"/>
    <mergeCell ref="I78:K78"/>
    <mergeCell ref="S78:S79"/>
    <mergeCell ref="T78:T79"/>
    <mergeCell ref="U82:U83"/>
    <mergeCell ref="F83:H83"/>
    <mergeCell ref="I83:K83"/>
    <mergeCell ref="A84:A85"/>
    <mergeCell ref="B84:B85"/>
    <mergeCell ref="C84:C85"/>
    <mergeCell ref="D84:D85"/>
    <mergeCell ref="E84:E85"/>
    <mergeCell ref="F84:H84"/>
    <mergeCell ref="I84:K84"/>
    <mergeCell ref="S84:S85"/>
    <mergeCell ref="T84:T85"/>
    <mergeCell ref="U84:U85"/>
    <mergeCell ref="F85:H85"/>
    <mergeCell ref="I85:K85"/>
    <mergeCell ref="A82:A83"/>
    <mergeCell ref="B82:B83"/>
    <mergeCell ref="C82:C83"/>
    <mergeCell ref="D82:D83"/>
    <mergeCell ref="E82:E83"/>
    <mergeCell ref="F82:H82"/>
    <mergeCell ref="I82:K82"/>
    <mergeCell ref="S82:S83"/>
    <mergeCell ref="T82:T83"/>
    <mergeCell ref="U86:U87"/>
    <mergeCell ref="F87:H87"/>
    <mergeCell ref="I87:K87"/>
    <mergeCell ref="A88:A89"/>
    <mergeCell ref="B88:B89"/>
    <mergeCell ref="C88:C89"/>
    <mergeCell ref="D88:D89"/>
    <mergeCell ref="E88:E89"/>
    <mergeCell ref="F88:H88"/>
    <mergeCell ref="I88:K88"/>
    <mergeCell ref="S88:S89"/>
    <mergeCell ref="T88:T89"/>
    <mergeCell ref="U88:U89"/>
    <mergeCell ref="F89:H89"/>
    <mergeCell ref="I89:K89"/>
    <mergeCell ref="A86:A87"/>
    <mergeCell ref="B86:B87"/>
    <mergeCell ref="C86:C87"/>
    <mergeCell ref="D86:D87"/>
    <mergeCell ref="E86:E87"/>
    <mergeCell ref="F86:H86"/>
    <mergeCell ref="I86:K86"/>
    <mergeCell ref="S86:S87"/>
    <mergeCell ref="T86:T87"/>
    <mergeCell ref="U90:U91"/>
    <mergeCell ref="F91:H91"/>
    <mergeCell ref="I91:K91"/>
    <mergeCell ref="A92:A93"/>
    <mergeCell ref="B92:B93"/>
    <mergeCell ref="C92:C93"/>
    <mergeCell ref="D92:D93"/>
    <mergeCell ref="E92:E93"/>
    <mergeCell ref="F92:H92"/>
    <mergeCell ref="I92:K92"/>
    <mergeCell ref="S92:S93"/>
    <mergeCell ref="T92:T93"/>
    <mergeCell ref="U92:U93"/>
    <mergeCell ref="F93:H93"/>
    <mergeCell ref="I93:K93"/>
    <mergeCell ref="A90:A91"/>
    <mergeCell ref="B90:B91"/>
    <mergeCell ref="C90:C91"/>
    <mergeCell ref="D90:D91"/>
    <mergeCell ref="E90:E91"/>
    <mergeCell ref="F90:H90"/>
    <mergeCell ref="I90:K90"/>
    <mergeCell ref="S90:S91"/>
    <mergeCell ref="T90:T91"/>
    <mergeCell ref="U94:U95"/>
    <mergeCell ref="F95:H95"/>
    <mergeCell ref="I95:K95"/>
    <mergeCell ref="A96:A97"/>
    <mergeCell ref="B96:B97"/>
    <mergeCell ref="C96:C97"/>
    <mergeCell ref="D96:D97"/>
    <mergeCell ref="E96:E97"/>
    <mergeCell ref="F96:H96"/>
    <mergeCell ref="I96:K96"/>
    <mergeCell ref="S96:S97"/>
    <mergeCell ref="T96:T97"/>
    <mergeCell ref="U96:U97"/>
    <mergeCell ref="F97:H97"/>
    <mergeCell ref="I97:K97"/>
    <mergeCell ref="A94:A95"/>
    <mergeCell ref="B94:B95"/>
    <mergeCell ref="C94:C95"/>
    <mergeCell ref="D94:D95"/>
    <mergeCell ref="E94:E95"/>
    <mergeCell ref="F94:H94"/>
    <mergeCell ref="I94:K94"/>
    <mergeCell ref="S94:S95"/>
    <mergeCell ref="T94:T95"/>
    <mergeCell ref="U98:U99"/>
    <mergeCell ref="F99:H99"/>
    <mergeCell ref="I99:K99"/>
    <mergeCell ref="A100:A101"/>
    <mergeCell ref="B100:B101"/>
    <mergeCell ref="C100:C101"/>
    <mergeCell ref="D100:D101"/>
    <mergeCell ref="E100:E101"/>
    <mergeCell ref="F100:H100"/>
    <mergeCell ref="I100:K100"/>
    <mergeCell ref="S100:S101"/>
    <mergeCell ref="T100:T101"/>
    <mergeCell ref="U100:U101"/>
    <mergeCell ref="F101:H101"/>
    <mergeCell ref="I101:K101"/>
    <mergeCell ref="A98:A99"/>
    <mergeCell ref="B98:B99"/>
    <mergeCell ref="C98:C99"/>
    <mergeCell ref="D98:D99"/>
    <mergeCell ref="E98:E99"/>
    <mergeCell ref="F98:H98"/>
    <mergeCell ref="I98:K98"/>
    <mergeCell ref="S98:S99"/>
    <mergeCell ref="T98:T99"/>
    <mergeCell ref="A102:A103"/>
    <mergeCell ref="B102:B103"/>
    <mergeCell ref="C102:C103"/>
    <mergeCell ref="D102:D103"/>
    <mergeCell ref="E102:E103"/>
    <mergeCell ref="F102:H102"/>
    <mergeCell ref="I102:K102"/>
    <mergeCell ref="S102:S103"/>
    <mergeCell ref="T102:T103"/>
    <mergeCell ref="A104:A105"/>
    <mergeCell ref="B104:B105"/>
    <mergeCell ref="C104:C105"/>
    <mergeCell ref="D104:D105"/>
    <mergeCell ref="E104:E105"/>
    <mergeCell ref="F104:H104"/>
    <mergeCell ref="I104:K104"/>
    <mergeCell ref="S104:S105"/>
    <mergeCell ref="T104:T105"/>
    <mergeCell ref="F105:H105"/>
    <mergeCell ref="I105:K105"/>
    <mergeCell ref="D106:D107"/>
    <mergeCell ref="E106:E107"/>
    <mergeCell ref="F106:H106"/>
    <mergeCell ref="I106:K106"/>
    <mergeCell ref="S106:S107"/>
    <mergeCell ref="T106:T107"/>
    <mergeCell ref="U102:U103"/>
    <mergeCell ref="F103:H103"/>
    <mergeCell ref="I103:K103"/>
    <mergeCell ref="U104:U105"/>
    <mergeCell ref="E113:E114"/>
    <mergeCell ref="F113:H113"/>
    <mergeCell ref="I113:K113"/>
    <mergeCell ref="S113:S114"/>
    <mergeCell ref="T113:T114"/>
    <mergeCell ref="U106:U107"/>
    <mergeCell ref="F107:H107"/>
    <mergeCell ref="I107:K107"/>
    <mergeCell ref="A109:A112"/>
    <mergeCell ref="B109:B112"/>
    <mergeCell ref="C109:C112"/>
    <mergeCell ref="D109:D112"/>
    <mergeCell ref="E109:E112"/>
    <mergeCell ref="F109:H109"/>
    <mergeCell ref="I109:K109"/>
    <mergeCell ref="S109:S112"/>
    <mergeCell ref="T109:T112"/>
    <mergeCell ref="U109:U112"/>
    <mergeCell ref="F110:H112"/>
    <mergeCell ref="I110:K112"/>
    <mergeCell ref="R110:R112"/>
    <mergeCell ref="A106:A107"/>
    <mergeCell ref="B106:B107"/>
    <mergeCell ref="C106:C107"/>
    <mergeCell ref="F120:H120"/>
    <mergeCell ref="I120:K120"/>
    <mergeCell ref="S120:S122"/>
    <mergeCell ref="T120:T122"/>
    <mergeCell ref="U113:U114"/>
    <mergeCell ref="F114:H114"/>
    <mergeCell ref="I114:K114"/>
    <mergeCell ref="A115:A119"/>
    <mergeCell ref="B115:B119"/>
    <mergeCell ref="C115:C119"/>
    <mergeCell ref="D115:D119"/>
    <mergeCell ref="E115:E119"/>
    <mergeCell ref="F115:H115"/>
    <mergeCell ref="I115:K115"/>
    <mergeCell ref="S115:S119"/>
    <mergeCell ref="T115:T119"/>
    <mergeCell ref="U115:U119"/>
    <mergeCell ref="F116:H119"/>
    <mergeCell ref="I116:K119"/>
    <mergeCell ref="R116:R119"/>
    <mergeCell ref="A113:A114"/>
    <mergeCell ref="B113:B114"/>
    <mergeCell ref="C113:C114"/>
    <mergeCell ref="D113:D114"/>
    <mergeCell ref="U120:U122"/>
    <mergeCell ref="F121:H122"/>
    <mergeCell ref="I121:K122"/>
    <mergeCell ref="R121:R122"/>
    <mergeCell ref="A123:A125"/>
    <mergeCell ref="B123:B125"/>
    <mergeCell ref="C123:C125"/>
    <mergeCell ref="D123:D125"/>
    <mergeCell ref="E123:E125"/>
    <mergeCell ref="F123:H123"/>
    <mergeCell ref="I123:K123"/>
    <mergeCell ref="S123:S125"/>
    <mergeCell ref="T123:T125"/>
    <mergeCell ref="U123:U125"/>
    <mergeCell ref="F124:H124"/>
    <mergeCell ref="I124:K124"/>
    <mergeCell ref="R124:R125"/>
    <mergeCell ref="F125:H125"/>
    <mergeCell ref="I125:K125"/>
    <mergeCell ref="A120:A122"/>
    <mergeCell ref="B120:B122"/>
    <mergeCell ref="C120:C122"/>
    <mergeCell ref="D120:D122"/>
    <mergeCell ref="E120:E122"/>
    <mergeCell ref="U126:U128"/>
    <mergeCell ref="F127:H128"/>
    <mergeCell ref="I127:K128"/>
    <mergeCell ref="R127:R128"/>
    <mergeCell ref="A126:A128"/>
    <mergeCell ref="B126:B128"/>
    <mergeCell ref="C126:C128"/>
    <mergeCell ref="D126:D128"/>
    <mergeCell ref="E126:E128"/>
    <mergeCell ref="F126:H126"/>
    <mergeCell ref="I126:K126"/>
    <mergeCell ref="S126:S128"/>
    <mergeCell ref="T126:T128"/>
  </mergeCells>
  <printOptions horizontalCentered="1"/>
  <pageMargins left="0" right="0" top="0.98425196850393704" bottom="0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X305"/>
  <sheetViews>
    <sheetView showZeros="0" view="pageBreakPreview" zoomScale="115" zoomScaleNormal="115" zoomScaleSheetLayoutView="115" workbookViewId="0">
      <selection activeCell="A21" sqref="A21:XFD21"/>
    </sheetView>
  </sheetViews>
  <sheetFormatPr defaultRowHeight="15"/>
  <cols>
    <col min="1" max="1" width="3.42578125" style="167" customWidth="1"/>
    <col min="2" max="2" width="7.5703125" style="167" hidden="1" customWidth="1"/>
    <col min="3" max="3" width="61.42578125" style="168" customWidth="1"/>
    <col min="4" max="4" width="5.85546875" style="159" customWidth="1"/>
    <col min="5" max="5" width="6.28515625" style="173" customWidth="1"/>
    <col min="6" max="7" width="2.140625" style="169" hidden="1" customWidth="1"/>
    <col min="8" max="8" width="2.28515625" style="169" hidden="1" customWidth="1"/>
    <col min="9" max="9" width="1.85546875" style="169" hidden="1" customWidth="1"/>
    <col min="10" max="10" width="2.140625" style="169" hidden="1" customWidth="1"/>
    <col min="11" max="11" width="2.42578125" style="169" hidden="1" customWidth="1"/>
    <col min="12" max="12" width="18" style="337" hidden="1" customWidth="1"/>
    <col min="13" max="13" width="4.28515625" style="159" hidden="1" customWidth="1"/>
    <col min="14" max="14" width="5.5703125" style="159" hidden="1" customWidth="1"/>
    <col min="15" max="15" width="6.85546875" style="173" hidden="1" customWidth="1"/>
    <col min="16" max="16" width="5.5703125" style="238" hidden="1" customWidth="1"/>
    <col min="17" max="17" width="5.28515625" style="170" hidden="1" customWidth="1"/>
    <col min="18" max="18" width="5.5703125" style="159" hidden="1" customWidth="1"/>
    <col min="19" max="19" width="5.42578125" style="159" hidden="1" customWidth="1"/>
    <col min="20" max="20" width="7.42578125" style="175" hidden="1" customWidth="1"/>
    <col min="21" max="21" width="7.28515625" style="171" hidden="1" customWidth="1"/>
    <col min="22" max="22" width="9.140625" style="159"/>
    <col min="23" max="23" width="11" style="159" bestFit="1" customWidth="1"/>
    <col min="24" max="24" width="7.140625" style="159" customWidth="1"/>
    <col min="25" max="25" width="10.5703125" style="159" customWidth="1"/>
    <col min="26" max="26" width="19.5703125" style="159" bestFit="1" customWidth="1"/>
    <col min="27" max="16384" width="9.140625" style="159"/>
  </cols>
  <sheetData>
    <row r="1" spans="1:25" s="116" customFormat="1" ht="47.25" customHeight="1">
      <c r="A1" s="1184" t="str">
        <f>+'1'!D1</f>
        <v xml:space="preserve">ԵՂԵԳԻՍ  ՀԱՄԱՅՆՔԻ ՔԱՐԱԳԼՈՒԽ ԳՅՈՒՂԻ ՋՐԱՄԱՏԱԿԱՐԱՐՈՒՄ  </v>
      </c>
      <c r="B1" s="1184"/>
      <c r="C1" s="1184"/>
      <c r="D1" s="1184"/>
      <c r="E1" s="1184"/>
      <c r="F1" s="1184"/>
      <c r="G1" s="1184"/>
      <c r="H1" s="1184"/>
      <c r="I1" s="1184"/>
      <c r="J1" s="1184"/>
      <c r="K1" s="1184"/>
      <c r="L1" s="1184"/>
      <c r="M1" s="1184"/>
      <c r="N1" s="1184"/>
      <c r="O1" s="1184"/>
      <c r="P1" s="1184"/>
      <c r="Q1" s="1184"/>
      <c r="R1" s="1184"/>
      <c r="S1" s="1184"/>
      <c r="T1" s="1184"/>
      <c r="U1" s="1184"/>
      <c r="V1" s="1184"/>
      <c r="W1" s="1184"/>
      <c r="X1" s="1184"/>
    </row>
    <row r="2" spans="1:25" s="116" customFormat="1" ht="3" customHeight="1">
      <c r="A2" s="929"/>
      <c r="B2" s="929"/>
      <c r="C2" s="929"/>
      <c r="D2" s="557"/>
      <c r="E2" s="177"/>
      <c r="F2" s="118"/>
      <c r="G2" s="118"/>
      <c r="H2" s="118"/>
      <c r="I2" s="118"/>
      <c r="J2" s="118"/>
      <c r="K2" s="118"/>
      <c r="L2" s="335"/>
      <c r="M2" s="119"/>
      <c r="N2" s="120"/>
      <c r="O2" s="120"/>
      <c r="P2" s="141"/>
      <c r="Q2" s="121"/>
      <c r="R2" s="120"/>
      <c r="S2" s="120"/>
      <c r="T2" s="174"/>
      <c r="U2" s="114"/>
      <c r="V2" s="115"/>
      <c r="W2" s="115"/>
    </row>
    <row r="3" spans="1:25" s="116" customFormat="1" ht="12.75" hidden="1">
      <c r="A3" s="123"/>
      <c r="B3" s="123"/>
      <c r="C3" s="124"/>
      <c r="D3" s="120"/>
      <c r="E3" s="120"/>
      <c r="F3" s="353"/>
      <c r="G3" s="353"/>
      <c r="H3" s="353"/>
      <c r="I3" s="353"/>
      <c r="J3" s="353"/>
      <c r="K3" s="353"/>
      <c r="L3" s="336"/>
      <c r="M3" s="120"/>
      <c r="N3" s="120"/>
      <c r="O3" s="120"/>
      <c r="P3" s="141"/>
      <c r="Q3" s="121"/>
      <c r="R3" s="120"/>
      <c r="S3" s="120"/>
      <c r="T3" s="141"/>
      <c r="U3" s="125"/>
      <c r="V3" s="115"/>
      <c r="W3" s="115"/>
    </row>
    <row r="4" spans="1:25" s="132" customFormat="1" ht="15.75">
      <c r="A4" s="1157" t="s">
        <v>162</v>
      </c>
      <c r="B4" s="1158"/>
      <c r="C4" s="1158"/>
      <c r="D4" s="1158"/>
      <c r="E4" s="1158"/>
      <c r="F4" s="1158"/>
      <c r="G4" s="1158"/>
      <c r="H4" s="1158"/>
      <c r="I4" s="1158"/>
      <c r="J4" s="1158"/>
      <c r="K4" s="1158"/>
      <c r="L4" s="1158"/>
      <c r="M4" s="1158"/>
      <c r="N4" s="1158"/>
      <c r="O4" s="1158"/>
      <c r="P4" s="1158"/>
      <c r="Q4" s="1158"/>
      <c r="R4" s="1158"/>
      <c r="S4" s="1158"/>
      <c r="T4" s="1158"/>
      <c r="U4" s="1158"/>
      <c r="V4" s="1158"/>
      <c r="W4" s="176" t="str">
        <f>+'1'!C9</f>
        <v xml:space="preserve">№ </v>
      </c>
    </row>
    <row r="5" spans="1:25" s="138" customFormat="1" ht="2.25" customHeight="1">
      <c r="A5" s="134"/>
      <c r="B5" s="134"/>
      <c r="C5" s="124"/>
      <c r="D5" s="133"/>
      <c r="E5" s="133"/>
      <c r="F5" s="353"/>
      <c r="G5" s="353"/>
      <c r="H5" s="353"/>
      <c r="I5" s="353"/>
      <c r="J5" s="353"/>
      <c r="K5" s="353"/>
      <c r="L5" s="336"/>
      <c r="M5" s="133"/>
      <c r="N5" s="133"/>
      <c r="O5" s="133"/>
      <c r="P5" s="141"/>
      <c r="Q5" s="121"/>
      <c r="R5" s="133"/>
      <c r="S5" s="133"/>
      <c r="T5" s="141"/>
      <c r="U5" s="135"/>
      <c r="V5" s="136"/>
      <c r="W5" s="367"/>
      <c r="X5" s="133"/>
      <c r="Y5" s="133"/>
    </row>
    <row r="6" spans="1:25" s="138" customFormat="1" ht="13.5" hidden="1" customHeight="1">
      <c r="A6" s="134"/>
      <c r="B6" s="134"/>
      <c r="C6" s="124"/>
      <c r="D6" s="557"/>
      <c r="E6" s="931" t="s">
        <v>176</v>
      </c>
      <c r="F6" s="931"/>
      <c r="G6" s="931"/>
      <c r="H6" s="931"/>
      <c r="I6" s="931"/>
      <c r="J6" s="931"/>
      <c r="K6" s="931"/>
      <c r="L6" s="931"/>
      <c r="M6" s="931"/>
      <c r="N6" s="931"/>
      <c r="O6" s="931"/>
      <c r="P6" s="931"/>
      <c r="Q6" s="931"/>
      <c r="R6" s="931"/>
      <c r="S6" s="133"/>
      <c r="T6" s="141"/>
      <c r="U6" s="135"/>
      <c r="V6" s="136"/>
      <c r="W6" s="133"/>
      <c r="X6" s="368"/>
      <c r="Y6" s="133"/>
    </row>
    <row r="7" spans="1:25" s="138" customFormat="1" ht="12" hidden="1" customHeight="1">
      <c r="A7" s="134"/>
      <c r="B7" s="134"/>
      <c r="C7" s="124"/>
      <c r="D7" s="133"/>
      <c r="E7" s="932"/>
      <c r="F7" s="932"/>
      <c r="G7" s="932"/>
      <c r="H7" s="932"/>
      <c r="I7" s="932"/>
      <c r="J7" s="932"/>
      <c r="K7" s="932"/>
      <c r="L7" s="932"/>
      <c r="M7" s="932"/>
      <c r="N7" s="932"/>
      <c r="O7" s="932"/>
      <c r="P7" s="932"/>
      <c r="Q7" s="932"/>
      <c r="R7" s="932"/>
      <c r="S7" s="133"/>
      <c r="T7" s="141"/>
      <c r="U7" s="135"/>
      <c r="V7" s="136"/>
      <c r="W7" s="133"/>
      <c r="X7" s="133"/>
      <c r="Y7" s="133"/>
    </row>
    <row r="8" spans="1:25" s="138" customFormat="1" ht="0.75" hidden="1" customHeight="1">
      <c r="A8" s="134"/>
      <c r="B8" s="134"/>
      <c r="C8" s="124"/>
      <c r="D8" s="140"/>
      <c r="E8" s="141"/>
      <c r="F8" s="353"/>
      <c r="G8" s="353"/>
      <c r="H8" s="353"/>
      <c r="I8" s="353"/>
      <c r="J8" s="353"/>
      <c r="K8" s="353"/>
      <c r="L8" s="336"/>
      <c r="M8" s="133"/>
      <c r="N8" s="133"/>
      <c r="O8" s="133"/>
      <c r="P8" s="141"/>
      <c r="Q8" s="121"/>
      <c r="R8" s="142"/>
      <c r="S8" s="133"/>
      <c r="T8" s="141"/>
      <c r="U8" s="135"/>
      <c r="V8" s="136"/>
      <c r="W8" s="133"/>
      <c r="X8" s="133"/>
      <c r="Y8" s="133"/>
    </row>
    <row r="9" spans="1:25" s="138" customFormat="1" ht="12.75" hidden="1">
      <c r="A9" s="933" t="s">
        <v>79</v>
      </c>
      <c r="B9" s="933"/>
      <c r="C9" s="124" t="s">
        <v>174</v>
      </c>
      <c r="D9" s="133"/>
      <c r="E9" s="133"/>
      <c r="F9" s="353"/>
      <c r="G9" s="353"/>
      <c r="H9" s="353"/>
      <c r="I9" s="353"/>
      <c r="J9" s="353"/>
      <c r="K9" s="353"/>
      <c r="L9" s="336"/>
      <c r="M9" s="133"/>
      <c r="N9" s="133"/>
      <c r="O9" s="370" t="s">
        <v>80</v>
      </c>
      <c r="P9" s="934" t="e">
        <f>+#REF!</f>
        <v>#REF!</v>
      </c>
      <c r="Q9" s="934"/>
      <c r="R9" s="934"/>
      <c r="S9" s="143" t="s">
        <v>25</v>
      </c>
      <c r="T9" s="141"/>
      <c r="U9" s="135"/>
      <c r="V9" s="136"/>
      <c r="W9" s="133"/>
      <c r="X9" s="133"/>
      <c r="Y9" s="133"/>
    </row>
    <row r="10" spans="1:25" s="138" customFormat="1" ht="4.5" hidden="1" customHeight="1">
      <c r="A10" s="144"/>
      <c r="B10" s="144"/>
      <c r="C10" s="145"/>
      <c r="D10" s="146"/>
      <c r="E10" s="1159"/>
      <c r="F10" s="1159"/>
      <c r="G10" s="1159"/>
      <c r="H10" s="353"/>
      <c r="I10" s="353"/>
      <c r="J10" s="353"/>
      <c r="K10" s="353"/>
      <c r="L10" s="336"/>
      <c r="M10" s="133"/>
      <c r="N10" s="133"/>
      <c r="O10" s="370"/>
      <c r="P10" s="934"/>
      <c r="Q10" s="934"/>
      <c r="R10" s="934"/>
      <c r="S10" s="143"/>
      <c r="T10" s="353"/>
      <c r="U10" s="147"/>
      <c r="V10" s="136"/>
    </row>
    <row r="11" spans="1:25" s="138" customFormat="1" ht="12.75" hidden="1">
      <c r="A11" s="148" t="s">
        <v>81</v>
      </c>
      <c r="B11" s="148"/>
      <c r="C11" s="149"/>
      <c r="D11" s="901">
        <f>+'1'!D11:F11</f>
        <v>252984</v>
      </c>
      <c r="E11" s="901"/>
      <c r="F11" s="901"/>
      <c r="G11" s="225"/>
      <c r="H11" s="150"/>
      <c r="I11" s="150" t="s">
        <v>82</v>
      </c>
      <c r="J11" s="225"/>
      <c r="K11" s="225"/>
      <c r="L11" s="355" t="s">
        <v>83</v>
      </c>
      <c r="M11" s="226" t="s">
        <v>84</v>
      </c>
      <c r="N11" s="1155">
        <f>+'1'!N11:P11</f>
        <v>1.1525031000000003</v>
      </c>
      <c r="O11" s="1155"/>
      <c r="P11" s="1155"/>
      <c r="Q11" s="150"/>
      <c r="R11" s="227"/>
      <c r="S11" s="228"/>
      <c r="T11" s="228"/>
      <c r="U11" s="151"/>
      <c r="V11" s="152"/>
    </row>
    <row r="12" spans="1:25" s="138" customFormat="1" ht="7.5" hidden="1" customHeight="1">
      <c r="A12" s="148"/>
      <c r="B12" s="148"/>
      <c r="C12" s="153"/>
      <c r="D12" s="229"/>
      <c r="E12" s="230"/>
      <c r="F12" s="231"/>
      <c r="G12" s="232"/>
      <c r="H12" s="233"/>
      <c r="I12" s="233"/>
      <c r="J12" s="232"/>
      <c r="K12" s="232"/>
      <c r="L12" s="355"/>
      <c r="M12" s="228"/>
      <c r="N12" s="234"/>
      <c r="O12" s="228"/>
      <c r="P12" s="356"/>
      <c r="Q12" s="150"/>
      <c r="R12" s="227"/>
      <c r="S12" s="228"/>
      <c r="T12" s="228"/>
      <c r="U12" s="151"/>
      <c r="V12" s="152"/>
    </row>
    <row r="13" spans="1:25" s="138" customFormat="1" ht="14.25" hidden="1" customHeight="1">
      <c r="A13" s="903" t="s">
        <v>85</v>
      </c>
      <c r="B13" s="904"/>
      <c r="C13" s="904"/>
      <c r="D13" s="235"/>
      <c r="E13" s="905" t="s">
        <v>86</v>
      </c>
      <c r="F13" s="905"/>
      <c r="G13" s="905"/>
      <c r="H13" s="905"/>
      <c r="I13" s="905"/>
      <c r="J13" s="906">
        <f>+'1'!J13:L13</f>
        <v>2337</v>
      </c>
      <c r="K13" s="906"/>
      <c r="L13" s="906"/>
      <c r="M13" s="1156" t="s">
        <v>87</v>
      </c>
      <c r="N13" s="1156"/>
      <c r="O13" s="1156"/>
      <c r="P13" s="1156"/>
      <c r="Q13" s="906">
        <f>+'1'!Q13:S13</f>
        <v>3222.81</v>
      </c>
      <c r="R13" s="906"/>
      <c r="S13" s="906"/>
      <c r="T13" s="357"/>
      <c r="U13" s="179"/>
      <c r="V13" s="152"/>
    </row>
    <row r="14" spans="1:25" s="116" customFormat="1" ht="2.25" customHeight="1" thickBot="1">
      <c r="A14" s="180"/>
      <c r="B14" s="180"/>
      <c r="C14" s="153"/>
      <c r="D14" s="120"/>
      <c r="E14" s="120"/>
      <c r="F14" s="353"/>
      <c r="G14" s="353"/>
      <c r="H14" s="353"/>
      <c r="I14" s="910"/>
      <c r="J14" s="910"/>
      <c r="K14" s="910"/>
      <c r="L14" s="336"/>
      <c r="M14" s="120"/>
      <c r="N14" s="120"/>
      <c r="O14" s="120"/>
      <c r="P14" s="141"/>
      <c r="Q14" s="121"/>
      <c r="R14" s="181"/>
      <c r="S14" s="120"/>
      <c r="T14" s="150"/>
      <c r="U14" s="182">
        <f>+D11/35000*7.5</f>
        <v>54.210857142857144</v>
      </c>
      <c r="V14" s="272">
        <f>1.133*1.03*('ԱՄՓՈՓ  '!B37+1)*('ԱՄՓՈՓ  '!B41+1)*1.11</f>
        <v>1.3279371763350001</v>
      </c>
      <c r="W14" s="273"/>
      <c r="X14" s="361"/>
    </row>
    <row r="15" spans="1:25" s="154" customFormat="1" ht="18" customHeight="1" thickTop="1">
      <c r="A15" s="1185" t="s">
        <v>156</v>
      </c>
      <c r="B15" s="1188" t="s">
        <v>89</v>
      </c>
      <c r="C15" s="1191" t="s">
        <v>157</v>
      </c>
      <c r="D15" s="1194" t="s">
        <v>158</v>
      </c>
      <c r="E15" s="1194" t="s">
        <v>159</v>
      </c>
      <c r="F15" s="1197" t="s">
        <v>93</v>
      </c>
      <c r="G15" s="1198"/>
      <c r="H15" s="1199"/>
      <c r="I15" s="1197" t="s">
        <v>94</v>
      </c>
      <c r="J15" s="1198"/>
      <c r="K15" s="1199"/>
      <c r="L15" s="1211" t="s">
        <v>95</v>
      </c>
      <c r="M15" s="1212"/>
      <c r="N15" s="1212"/>
      <c r="O15" s="1212"/>
      <c r="P15" s="1212"/>
      <c r="Q15" s="1213"/>
      <c r="R15" s="1188" t="s">
        <v>96</v>
      </c>
      <c r="S15" s="1188" t="s">
        <v>97</v>
      </c>
      <c r="T15" s="1214" t="s">
        <v>98</v>
      </c>
      <c r="U15" s="1217" t="s">
        <v>99</v>
      </c>
      <c r="V15" s="1207" t="s">
        <v>160</v>
      </c>
      <c r="W15" s="1207" t="s">
        <v>160</v>
      </c>
      <c r="X15" s="1207" t="s">
        <v>177</v>
      </c>
    </row>
    <row r="16" spans="1:25" s="154" customFormat="1" ht="22.5" customHeight="1">
      <c r="A16" s="1186"/>
      <c r="B16" s="1189"/>
      <c r="C16" s="1192"/>
      <c r="D16" s="1195"/>
      <c r="E16" s="1195"/>
      <c r="F16" s="1200"/>
      <c r="G16" s="1201"/>
      <c r="H16" s="1202"/>
      <c r="I16" s="1200"/>
      <c r="J16" s="1201"/>
      <c r="K16" s="1202"/>
      <c r="L16" s="1208" t="s">
        <v>108</v>
      </c>
      <c r="M16" s="1188" t="s">
        <v>109</v>
      </c>
      <c r="N16" s="1188" t="s">
        <v>110</v>
      </c>
      <c r="O16" s="1188" t="s">
        <v>111</v>
      </c>
      <c r="P16" s="1188" t="s">
        <v>96</v>
      </c>
      <c r="Q16" s="1188" t="s">
        <v>112</v>
      </c>
      <c r="R16" s="1189"/>
      <c r="S16" s="1189"/>
      <c r="T16" s="1215"/>
      <c r="U16" s="1218"/>
      <c r="V16" s="1207"/>
      <c r="W16" s="1207"/>
      <c r="X16" s="1207"/>
    </row>
    <row r="17" spans="1:33" s="154" customFormat="1" ht="22.5" customHeight="1">
      <c r="A17" s="1186"/>
      <c r="B17" s="1189"/>
      <c r="C17" s="1192"/>
      <c r="D17" s="1195"/>
      <c r="E17" s="1195"/>
      <c r="F17" s="1200"/>
      <c r="G17" s="1201"/>
      <c r="H17" s="1202"/>
      <c r="I17" s="1200"/>
      <c r="J17" s="1201"/>
      <c r="K17" s="1202"/>
      <c r="L17" s="1209"/>
      <c r="M17" s="1189"/>
      <c r="N17" s="1189"/>
      <c r="O17" s="1189"/>
      <c r="P17" s="1189"/>
      <c r="Q17" s="1189"/>
      <c r="R17" s="1189"/>
      <c r="S17" s="1189"/>
      <c r="T17" s="1215"/>
      <c r="U17" s="1218"/>
      <c r="V17" s="1207"/>
      <c r="W17" s="1207"/>
      <c r="X17" s="1207"/>
    </row>
    <row r="18" spans="1:33" s="154" customFormat="1" ht="22.5" customHeight="1">
      <c r="A18" s="1186"/>
      <c r="B18" s="1189"/>
      <c r="C18" s="1192"/>
      <c r="D18" s="1195"/>
      <c r="E18" s="1195"/>
      <c r="F18" s="1200"/>
      <c r="G18" s="1201"/>
      <c r="H18" s="1202"/>
      <c r="I18" s="1200"/>
      <c r="J18" s="1201"/>
      <c r="K18" s="1202"/>
      <c r="L18" s="1209"/>
      <c r="M18" s="1189"/>
      <c r="N18" s="1189"/>
      <c r="O18" s="1189"/>
      <c r="P18" s="1189"/>
      <c r="Q18" s="1189"/>
      <c r="R18" s="1189"/>
      <c r="S18" s="1189"/>
      <c r="T18" s="1215"/>
      <c r="U18" s="1218"/>
      <c r="V18" s="1207"/>
      <c r="W18" s="1207"/>
      <c r="X18" s="1207"/>
    </row>
    <row r="19" spans="1:33" s="154" customFormat="1" ht="22.5" customHeight="1">
      <c r="A19" s="1187"/>
      <c r="B19" s="1190"/>
      <c r="C19" s="1193"/>
      <c r="D19" s="1196"/>
      <c r="E19" s="1196"/>
      <c r="F19" s="1203"/>
      <c r="G19" s="1204"/>
      <c r="H19" s="1205"/>
      <c r="I19" s="1203"/>
      <c r="J19" s="1204"/>
      <c r="K19" s="1205"/>
      <c r="L19" s="1210"/>
      <c r="M19" s="1190"/>
      <c r="N19" s="1190"/>
      <c r="O19" s="1190"/>
      <c r="P19" s="1190"/>
      <c r="Q19" s="1190"/>
      <c r="R19" s="1190"/>
      <c r="S19" s="1190"/>
      <c r="T19" s="1216"/>
      <c r="U19" s="1219"/>
      <c r="V19" s="1207"/>
      <c r="W19" s="1207"/>
      <c r="X19" s="1207"/>
    </row>
    <row r="20" spans="1:33" s="155" customFormat="1" ht="13.5" customHeight="1">
      <c r="A20" s="204">
        <v>1</v>
      </c>
      <c r="B20" s="372">
        <v>2</v>
      </c>
      <c r="C20" s="205">
        <v>2</v>
      </c>
      <c r="D20" s="559">
        <v>3</v>
      </c>
      <c r="E20" s="205">
        <v>4</v>
      </c>
      <c r="F20" s="958">
        <v>6</v>
      </c>
      <c r="G20" s="1166"/>
      <c r="H20" s="1167"/>
      <c r="I20" s="958">
        <v>7</v>
      </c>
      <c r="J20" s="962"/>
      <c r="K20" s="963"/>
      <c r="L20" s="206">
        <v>8</v>
      </c>
      <c r="M20" s="205">
        <v>9</v>
      </c>
      <c r="N20" s="205">
        <v>10</v>
      </c>
      <c r="O20" s="205">
        <v>11</v>
      </c>
      <c r="P20" s="205">
        <v>12</v>
      </c>
      <c r="Q20" s="205">
        <v>13</v>
      </c>
      <c r="R20" s="371">
        <v>14</v>
      </c>
      <c r="S20" s="205">
        <v>15</v>
      </c>
      <c r="T20" s="205">
        <v>16</v>
      </c>
      <c r="U20" s="207">
        <v>17</v>
      </c>
      <c r="V20" s="274" t="s">
        <v>133</v>
      </c>
      <c r="W20" s="275" t="s">
        <v>134</v>
      </c>
      <c r="X20" s="364">
        <v>7</v>
      </c>
    </row>
    <row r="21" spans="1:33" s="155" customFormat="1" ht="13.5" customHeight="1">
      <c r="A21" s="387"/>
      <c r="B21" s="559"/>
      <c r="C21" s="563" t="s">
        <v>282</v>
      </c>
      <c r="D21" s="559"/>
      <c r="E21" s="559"/>
      <c r="F21" s="559"/>
      <c r="G21" s="558"/>
      <c r="H21" s="558"/>
      <c r="I21" s="559"/>
      <c r="J21" s="559"/>
      <c r="K21" s="559"/>
      <c r="L21" s="388"/>
      <c r="M21" s="559"/>
      <c r="N21" s="559"/>
      <c r="O21" s="559"/>
      <c r="P21" s="559"/>
      <c r="Q21" s="559"/>
      <c r="R21" s="559"/>
      <c r="S21" s="559"/>
      <c r="T21" s="559"/>
      <c r="U21" s="389"/>
      <c r="V21" s="276">
        <f t="shared" ref="V21:V219" si="0">+$V$14*S21</f>
        <v>0</v>
      </c>
      <c r="W21" s="277">
        <f t="shared" ref="W21:W219" si="1">+V21*E21</f>
        <v>0</v>
      </c>
      <c r="X21" s="422"/>
      <c r="Y21" s="197"/>
      <c r="Z21" s="197"/>
      <c r="AA21" s="197"/>
      <c r="AB21" s="197"/>
      <c r="AC21" s="197"/>
      <c r="AD21" s="197"/>
      <c r="AE21" s="197"/>
      <c r="AF21" s="156"/>
      <c r="AG21" s="156"/>
    </row>
    <row r="22" spans="1:33" s="483" customFormat="1" ht="12.75" customHeight="1">
      <c r="A22" s="900">
        <v>1</v>
      </c>
      <c r="B22" s="856" t="s">
        <v>240</v>
      </c>
      <c r="C22" s="891" t="s">
        <v>284</v>
      </c>
      <c r="D22" s="881" t="s">
        <v>201</v>
      </c>
      <c r="E22" s="886">
        <v>12</v>
      </c>
      <c r="F22" s="1225">
        <f>0.001*8.13</f>
        <v>8.1300000000000018E-3</v>
      </c>
      <c r="G22" s="1225"/>
      <c r="H22" s="1225"/>
      <c r="I22" s="1225">
        <f>0.001*172.87</f>
        <v>0.17287</v>
      </c>
      <c r="J22" s="1225"/>
      <c r="K22" s="1225"/>
      <c r="L22" s="396"/>
      <c r="M22" s="397"/>
      <c r="N22" s="398"/>
      <c r="O22" s="398"/>
      <c r="P22" s="399"/>
      <c r="Q22" s="400"/>
      <c r="R22" s="887">
        <f>F23+I23</f>
        <v>0.57612697469999996</v>
      </c>
      <c r="S22" s="887">
        <f>R22+R23</f>
        <v>0.57612697469999996</v>
      </c>
      <c r="T22" s="887">
        <f>E22*S22</f>
        <v>6.9135236963999995</v>
      </c>
      <c r="U22" s="851"/>
      <c r="V22" s="276">
        <f t="shared" si="0"/>
        <v>0.76506042799354401</v>
      </c>
      <c r="W22" s="277">
        <f t="shared" si="1"/>
        <v>9.180725135922529</v>
      </c>
      <c r="X22" s="422"/>
    </row>
    <row r="23" spans="1:33" s="483" customFormat="1" ht="12.75" customHeight="1">
      <c r="A23" s="1224"/>
      <c r="B23" s="831"/>
      <c r="C23" s="892"/>
      <c r="D23" s="882"/>
      <c r="E23" s="812"/>
      <c r="F23" s="816">
        <f>F22*$J$13/1000</f>
        <v>1.8999810000000002E-2</v>
      </c>
      <c r="G23" s="816"/>
      <c r="H23" s="816"/>
      <c r="I23" s="816">
        <f>I22*$Q$13/1000</f>
        <v>0.55712716470000001</v>
      </c>
      <c r="J23" s="816"/>
      <c r="K23" s="816"/>
      <c r="L23" s="393"/>
      <c r="M23" s="404"/>
      <c r="N23" s="405"/>
      <c r="O23" s="405"/>
      <c r="P23" s="394"/>
      <c r="Q23" s="406"/>
      <c r="R23" s="806"/>
      <c r="S23" s="806"/>
      <c r="T23" s="806"/>
      <c r="U23" s="888"/>
      <c r="V23" s="276">
        <f t="shared" si="0"/>
        <v>0</v>
      </c>
      <c r="W23" s="277">
        <f t="shared" si="1"/>
        <v>0</v>
      </c>
      <c r="X23" s="422"/>
    </row>
    <row r="24" spans="1:33" s="484" customFormat="1" ht="12.75" customHeight="1">
      <c r="A24" s="899">
        <v>2</v>
      </c>
      <c r="B24" s="830" t="s">
        <v>241</v>
      </c>
      <c r="C24" s="891" t="s">
        <v>285</v>
      </c>
      <c r="D24" s="881" t="s">
        <v>201</v>
      </c>
      <c r="E24" s="811">
        <v>10</v>
      </c>
      <c r="F24" s="816">
        <f>0.001*14.3</f>
        <v>1.43E-2</v>
      </c>
      <c r="G24" s="816"/>
      <c r="H24" s="816"/>
      <c r="I24" s="816">
        <f>0.001*302.7</f>
        <v>0.30269999999999997</v>
      </c>
      <c r="J24" s="816"/>
      <c r="K24" s="816"/>
      <c r="L24" s="390"/>
      <c r="M24" s="511"/>
      <c r="N24" s="511"/>
      <c r="O24" s="511"/>
      <c r="P24" s="391"/>
      <c r="Q24" s="392"/>
      <c r="R24" s="805">
        <f>F25+I25</f>
        <v>1.0089636869999998</v>
      </c>
      <c r="S24" s="805">
        <f>R24+R25</f>
        <v>1.0089636869999998</v>
      </c>
      <c r="T24" s="805">
        <f>E24*S24</f>
        <v>10.089636869999998</v>
      </c>
      <c r="U24" s="850"/>
      <c r="V24" s="276">
        <f t="shared" si="0"/>
        <v>1.3398403895393307</v>
      </c>
      <c r="W24" s="277">
        <f t="shared" si="1"/>
        <v>13.398403895393308</v>
      </c>
      <c r="X24" s="422"/>
    </row>
    <row r="25" spans="1:33" s="484" customFormat="1" ht="12.75" customHeight="1">
      <c r="A25" s="1224"/>
      <c r="B25" s="831"/>
      <c r="C25" s="892"/>
      <c r="D25" s="882"/>
      <c r="E25" s="886"/>
      <c r="F25" s="816">
        <f>F24*$J$13/1000</f>
        <v>3.34191E-2</v>
      </c>
      <c r="G25" s="816"/>
      <c r="H25" s="816"/>
      <c r="I25" s="816">
        <f>I24*$Q$13/1000</f>
        <v>0.97554458699999991</v>
      </c>
      <c r="J25" s="816"/>
      <c r="K25" s="816"/>
      <c r="L25" s="393"/>
      <c r="M25" s="512"/>
      <c r="N25" s="512"/>
      <c r="O25" s="512"/>
      <c r="P25" s="394"/>
      <c r="Q25" s="395"/>
      <c r="R25" s="887"/>
      <c r="S25" s="806"/>
      <c r="T25" s="806"/>
      <c r="U25" s="888"/>
      <c r="V25" s="276">
        <f t="shared" si="0"/>
        <v>0</v>
      </c>
      <c r="W25" s="277">
        <f t="shared" si="1"/>
        <v>0</v>
      </c>
      <c r="X25" s="422"/>
    </row>
    <row r="26" spans="1:33" s="485" customFormat="1" ht="12.75" customHeight="1">
      <c r="A26" s="899">
        <f>+A24+1</f>
        <v>3</v>
      </c>
      <c r="B26" s="830" t="s">
        <v>242</v>
      </c>
      <c r="C26" s="891" t="s">
        <v>283</v>
      </c>
      <c r="D26" s="1226" t="s">
        <v>201</v>
      </c>
      <c r="E26" s="811">
        <v>1.4</v>
      </c>
      <c r="F26" s="816">
        <f>0.01*110</f>
        <v>1.1000000000000001</v>
      </c>
      <c r="G26" s="816"/>
      <c r="H26" s="816"/>
      <c r="I26" s="1223"/>
      <c r="J26" s="1223"/>
      <c r="K26" s="1223"/>
      <c r="L26" s="390"/>
      <c r="M26" s="508"/>
      <c r="N26" s="509"/>
      <c r="O26" s="509"/>
      <c r="P26" s="391"/>
      <c r="Q26" s="510"/>
      <c r="R26" s="805">
        <f>F27+I27</f>
        <v>2.5707000000000004</v>
      </c>
      <c r="S26" s="805">
        <f>R26+R27</f>
        <v>2.5707000000000004</v>
      </c>
      <c r="T26" s="805">
        <f>E26*S26</f>
        <v>3.5989800000000005</v>
      </c>
      <c r="U26" s="850"/>
      <c r="V26" s="276">
        <f t="shared" si="0"/>
        <v>3.4137280992043855</v>
      </c>
      <c r="W26" s="277">
        <f t="shared" si="1"/>
        <v>4.779219338886139</v>
      </c>
      <c r="X26" s="422"/>
    </row>
    <row r="27" spans="1:33" s="485" customFormat="1" ht="14.25" customHeight="1">
      <c r="A27" s="1224"/>
      <c r="B27" s="831"/>
      <c r="C27" s="892"/>
      <c r="D27" s="1227"/>
      <c r="E27" s="812"/>
      <c r="F27" s="816">
        <f>F26*$J$13/1000</f>
        <v>2.5707000000000004</v>
      </c>
      <c r="G27" s="816"/>
      <c r="H27" s="816"/>
      <c r="I27" s="1223"/>
      <c r="J27" s="1223"/>
      <c r="K27" s="1223"/>
      <c r="L27" s="393"/>
      <c r="M27" s="404"/>
      <c r="N27" s="405"/>
      <c r="O27" s="405"/>
      <c r="P27" s="394"/>
      <c r="Q27" s="406"/>
      <c r="R27" s="806"/>
      <c r="S27" s="806"/>
      <c r="T27" s="806"/>
      <c r="U27" s="851"/>
      <c r="V27" s="276">
        <f t="shared" si="0"/>
        <v>0</v>
      </c>
      <c r="W27" s="277">
        <f t="shared" si="1"/>
        <v>0</v>
      </c>
      <c r="X27" s="422"/>
    </row>
    <row r="28" spans="1:33" s="486" customFormat="1" ht="12.75" customHeight="1">
      <c r="A28" s="899">
        <f t="shared" ref="A28:A32" si="2">+A26+1</f>
        <v>4</v>
      </c>
      <c r="B28" s="830" t="s">
        <v>243</v>
      </c>
      <c r="C28" s="891" t="s">
        <v>286</v>
      </c>
      <c r="D28" s="1226" t="s">
        <v>201</v>
      </c>
      <c r="E28" s="1228">
        <v>1</v>
      </c>
      <c r="F28" s="816">
        <f>0.01*474</f>
        <v>4.74</v>
      </c>
      <c r="G28" s="816"/>
      <c r="H28" s="816"/>
      <c r="I28" s="885">
        <v>0</v>
      </c>
      <c r="J28" s="885"/>
      <c r="K28" s="885"/>
      <c r="L28" s="390"/>
      <c r="M28" s="511"/>
      <c r="N28" s="511"/>
      <c r="O28" s="511"/>
      <c r="P28" s="391"/>
      <c r="Q28" s="392"/>
      <c r="R28" s="805">
        <f>F29+I29</f>
        <v>11.077380000000002</v>
      </c>
      <c r="S28" s="805">
        <f>R28+R29</f>
        <v>11.077380000000002</v>
      </c>
      <c r="T28" s="805">
        <f>E28*S28</f>
        <v>11.077380000000002</v>
      </c>
      <c r="U28" s="850"/>
      <c r="V28" s="276">
        <f t="shared" si="0"/>
        <v>14.710064718389805</v>
      </c>
      <c r="W28" s="277">
        <f t="shared" si="1"/>
        <v>14.710064718389805</v>
      </c>
      <c r="X28" s="422"/>
    </row>
    <row r="29" spans="1:33" s="486" customFormat="1" ht="12.75" customHeight="1">
      <c r="A29" s="1224"/>
      <c r="B29" s="831"/>
      <c r="C29" s="892"/>
      <c r="D29" s="1227"/>
      <c r="E29" s="1229"/>
      <c r="F29" s="816">
        <f>F28*$J$13/1000</f>
        <v>11.077380000000002</v>
      </c>
      <c r="G29" s="816"/>
      <c r="H29" s="816"/>
      <c r="I29" s="885">
        <f>I28*$Q$13/1000</f>
        <v>0</v>
      </c>
      <c r="J29" s="885"/>
      <c r="K29" s="885"/>
      <c r="L29" s="393"/>
      <c r="M29" s="512"/>
      <c r="N29" s="512"/>
      <c r="O29" s="512"/>
      <c r="P29" s="394"/>
      <c r="Q29" s="395"/>
      <c r="R29" s="806"/>
      <c r="S29" s="806"/>
      <c r="T29" s="806"/>
      <c r="U29" s="888"/>
      <c r="V29" s="276">
        <f t="shared" si="0"/>
        <v>0</v>
      </c>
      <c r="W29" s="277">
        <f t="shared" si="1"/>
        <v>0</v>
      </c>
      <c r="X29" s="422"/>
    </row>
    <row r="30" spans="1:33" s="487" customFormat="1" ht="12.75" customHeight="1">
      <c r="A30" s="899">
        <f t="shared" si="2"/>
        <v>5</v>
      </c>
      <c r="B30" s="830" t="s">
        <v>181</v>
      </c>
      <c r="C30" s="879" t="s">
        <v>267</v>
      </c>
      <c r="D30" s="811" t="s">
        <v>180</v>
      </c>
      <c r="E30" s="811">
        <v>4</v>
      </c>
      <c r="F30" s="839">
        <f>0.01*56.2</f>
        <v>0.56200000000000006</v>
      </c>
      <c r="G30" s="840"/>
      <c r="H30" s="841"/>
      <c r="I30" s="1220"/>
      <c r="J30" s="1221"/>
      <c r="K30" s="1222"/>
      <c r="L30" s="396"/>
      <c r="M30" s="397"/>
      <c r="N30" s="398"/>
      <c r="O30" s="398"/>
      <c r="P30" s="399"/>
      <c r="Q30" s="400"/>
      <c r="R30" s="805">
        <f>F31+I31</f>
        <v>1.3133940000000002</v>
      </c>
      <c r="S30" s="805">
        <f>R30+R31</f>
        <v>1.3133940000000002</v>
      </c>
      <c r="T30" s="805">
        <f>E30*S30</f>
        <v>5.2535760000000007</v>
      </c>
      <c r="U30" s="555"/>
      <c r="V30" s="276">
        <f t="shared" si="0"/>
        <v>1.7441047197753312</v>
      </c>
      <c r="W30" s="277">
        <f t="shared" si="1"/>
        <v>6.9764188791013249</v>
      </c>
      <c r="X30" s="422"/>
    </row>
    <row r="31" spans="1:33" s="487" customFormat="1" ht="12.75" customHeight="1">
      <c r="A31" s="1224"/>
      <c r="B31" s="831"/>
      <c r="C31" s="880"/>
      <c r="D31" s="812"/>
      <c r="E31" s="812"/>
      <c r="F31" s="839">
        <f>F30*$J$13/1000</f>
        <v>1.3133940000000002</v>
      </c>
      <c r="G31" s="840"/>
      <c r="H31" s="841"/>
      <c r="I31" s="895">
        <f>J30*$Q$13/1000</f>
        <v>0</v>
      </c>
      <c r="J31" s="896"/>
      <c r="K31" s="897"/>
      <c r="L31" s="393"/>
      <c r="M31" s="404"/>
      <c r="N31" s="405"/>
      <c r="O31" s="405"/>
      <c r="P31" s="394"/>
      <c r="Q31" s="406"/>
      <c r="R31" s="806"/>
      <c r="S31" s="806"/>
      <c r="T31" s="806"/>
      <c r="U31" s="556"/>
      <c r="V31" s="276">
        <f t="shared" si="0"/>
        <v>0</v>
      </c>
      <c r="W31" s="277">
        <f t="shared" si="1"/>
        <v>0</v>
      </c>
      <c r="X31" s="422"/>
    </row>
    <row r="32" spans="1:33" s="483" customFormat="1" ht="12.75" customHeight="1">
      <c r="A32" s="899">
        <f t="shared" si="2"/>
        <v>6</v>
      </c>
      <c r="B32" s="830" t="s">
        <v>240</v>
      </c>
      <c r="C32" s="891" t="s">
        <v>287</v>
      </c>
      <c r="D32" s="1233" t="s">
        <v>201</v>
      </c>
      <c r="E32" s="811">
        <v>20</v>
      </c>
      <c r="F32" s="816">
        <f>0.001*8.13</f>
        <v>8.1300000000000018E-3</v>
      </c>
      <c r="G32" s="816"/>
      <c r="H32" s="816"/>
      <c r="I32" s="816">
        <f>0.001*172.87</f>
        <v>0.17287</v>
      </c>
      <c r="J32" s="816"/>
      <c r="K32" s="816"/>
      <c r="L32" s="390"/>
      <c r="M32" s="508"/>
      <c r="N32" s="509"/>
      <c r="O32" s="509"/>
      <c r="P32" s="391"/>
      <c r="Q32" s="510"/>
      <c r="R32" s="805">
        <f>F33+I33</f>
        <v>0.57612697469999996</v>
      </c>
      <c r="S32" s="805">
        <f>R32+R33</f>
        <v>0.57612697469999996</v>
      </c>
      <c r="T32" s="805">
        <f>E32*S32</f>
        <v>11.522539494</v>
      </c>
      <c r="U32" s="850"/>
      <c r="V32" s="276">
        <f t="shared" si="0"/>
        <v>0.76506042799354401</v>
      </c>
      <c r="W32" s="277">
        <f t="shared" si="1"/>
        <v>15.301208559870879</v>
      </c>
      <c r="X32" s="422"/>
    </row>
    <row r="33" spans="1:49" s="483" customFormat="1" ht="12.75" customHeight="1">
      <c r="A33" s="1224"/>
      <c r="B33" s="831"/>
      <c r="C33" s="892"/>
      <c r="D33" s="1234"/>
      <c r="E33" s="812"/>
      <c r="F33" s="816">
        <f>F32*$J$13/1000</f>
        <v>1.8999810000000002E-2</v>
      </c>
      <c r="G33" s="816"/>
      <c r="H33" s="816"/>
      <c r="I33" s="816">
        <f>I32*$Q$13/1000</f>
        <v>0.55712716470000001</v>
      </c>
      <c r="J33" s="816"/>
      <c r="K33" s="816"/>
      <c r="L33" s="393"/>
      <c r="M33" s="404"/>
      <c r="N33" s="405"/>
      <c r="O33" s="405"/>
      <c r="P33" s="394"/>
      <c r="Q33" s="406"/>
      <c r="R33" s="806"/>
      <c r="S33" s="806"/>
      <c r="T33" s="806"/>
      <c r="U33" s="888"/>
      <c r="V33" s="276">
        <f t="shared" si="0"/>
        <v>0</v>
      </c>
      <c r="W33" s="277">
        <f t="shared" si="1"/>
        <v>0</v>
      </c>
      <c r="X33" s="422"/>
    </row>
    <row r="34" spans="1:49" s="423" customFormat="1">
      <c r="A34" s="899">
        <f>+A32+1</f>
        <v>7</v>
      </c>
      <c r="B34" s="830" t="s">
        <v>233</v>
      </c>
      <c r="C34" s="1230" t="s">
        <v>290</v>
      </c>
      <c r="D34" s="1232" t="s">
        <v>289</v>
      </c>
      <c r="E34" s="811">
        <f>+E36*1.6</f>
        <v>14.56</v>
      </c>
      <c r="F34" s="836"/>
      <c r="G34" s="837"/>
      <c r="H34" s="838"/>
      <c r="I34" s="839">
        <v>0.75</v>
      </c>
      <c r="J34" s="840"/>
      <c r="K34" s="841"/>
      <c r="L34" s="396"/>
      <c r="M34" s="397"/>
      <c r="N34" s="398"/>
      <c r="O34" s="398"/>
      <c r="P34" s="391"/>
      <c r="Q34" s="481"/>
      <c r="R34" s="805">
        <f>+F35+I35</f>
        <v>2.4171075000000002</v>
      </c>
      <c r="S34" s="805">
        <f>R34+R35</f>
        <v>2.4171075000000002</v>
      </c>
      <c r="T34" s="805">
        <f>E34:E35*S34</f>
        <v>35.193085200000006</v>
      </c>
      <c r="U34" s="807"/>
      <c r="V34" s="276">
        <f t="shared" si="0"/>
        <v>3.2097669084481515</v>
      </c>
      <c r="W34" s="277">
        <f t="shared" si="1"/>
        <v>46.734206187005086</v>
      </c>
      <c r="X34" s="422"/>
      <c r="Y34" s="488"/>
      <c r="Z34" s="488"/>
      <c r="AA34" s="488"/>
      <c r="AB34" s="488"/>
      <c r="AC34" s="488"/>
      <c r="AD34" s="488"/>
      <c r="AE34" s="488"/>
      <c r="AF34" s="488"/>
      <c r="AG34" s="488"/>
      <c r="AH34" s="488"/>
      <c r="AI34" s="488"/>
      <c r="AJ34" s="488"/>
      <c r="AK34" s="488"/>
      <c r="AL34" s="488"/>
      <c r="AM34" s="489"/>
      <c r="AN34" s="489"/>
      <c r="AO34" s="489"/>
      <c r="AP34" s="489"/>
      <c r="AQ34" s="489"/>
      <c r="AR34" s="489"/>
      <c r="AS34" s="489"/>
      <c r="AT34" s="489"/>
      <c r="AU34" s="489"/>
      <c r="AV34" s="489"/>
      <c r="AW34" s="489"/>
    </row>
    <row r="35" spans="1:49" s="423" customFormat="1">
      <c r="A35" s="1224"/>
      <c r="B35" s="831"/>
      <c r="C35" s="1231"/>
      <c r="D35" s="845"/>
      <c r="E35" s="812"/>
      <c r="F35" s="813"/>
      <c r="G35" s="814"/>
      <c r="H35" s="815"/>
      <c r="I35" s="816">
        <f>I34*$Q$13/1000</f>
        <v>2.4171075000000002</v>
      </c>
      <c r="J35" s="816"/>
      <c r="K35" s="816"/>
      <c r="L35" s="393"/>
      <c r="M35" s="404"/>
      <c r="N35" s="405"/>
      <c r="O35" s="405"/>
      <c r="P35" s="394"/>
      <c r="Q35" s="482"/>
      <c r="R35" s="806"/>
      <c r="S35" s="806"/>
      <c r="T35" s="806"/>
      <c r="U35" s="808"/>
      <c r="V35" s="276">
        <f t="shared" si="0"/>
        <v>0</v>
      </c>
      <c r="W35" s="277">
        <f t="shared" si="1"/>
        <v>0</v>
      </c>
      <c r="X35" s="422"/>
      <c r="Y35" s="488"/>
      <c r="Z35" s="488"/>
      <c r="AA35" s="488"/>
      <c r="AB35" s="488"/>
      <c r="AC35" s="488"/>
      <c r="AD35" s="488"/>
      <c r="AE35" s="488"/>
      <c r="AF35" s="488"/>
      <c r="AG35" s="488"/>
      <c r="AH35" s="488"/>
      <c r="AI35" s="488"/>
      <c r="AJ35" s="488"/>
      <c r="AK35" s="488"/>
      <c r="AL35" s="488"/>
      <c r="AM35" s="489"/>
      <c r="AN35" s="489"/>
      <c r="AO35" s="489"/>
      <c r="AP35" s="489"/>
      <c r="AQ35" s="489"/>
      <c r="AR35" s="489"/>
      <c r="AS35" s="489"/>
      <c r="AT35" s="489"/>
      <c r="AU35" s="489"/>
      <c r="AV35" s="489"/>
      <c r="AW35" s="489"/>
    </row>
    <row r="36" spans="1:49" s="492" customFormat="1" ht="15" customHeight="1">
      <c r="A36" s="899">
        <f>+A34+1</f>
        <v>8</v>
      </c>
      <c r="B36" s="830" t="s">
        <v>230</v>
      </c>
      <c r="C36" s="1238" t="s">
        <v>288</v>
      </c>
      <c r="D36" s="1226" t="s">
        <v>201</v>
      </c>
      <c r="E36" s="868">
        <v>9.1</v>
      </c>
      <c r="F36" s="816">
        <v>0.89</v>
      </c>
      <c r="G36" s="816"/>
      <c r="H36" s="816"/>
      <c r="I36" s="816"/>
      <c r="J36" s="816"/>
      <c r="K36" s="816"/>
      <c r="L36" s="513"/>
      <c r="M36" s="477"/>
      <c r="N36" s="478"/>
      <c r="O36" s="478"/>
      <c r="P36" s="514"/>
      <c r="Q36" s="515"/>
      <c r="R36" s="479">
        <f>F37+I37</f>
        <v>2.0799300000000001</v>
      </c>
      <c r="S36" s="805">
        <f>R36+R37</f>
        <v>4.4361300000000004</v>
      </c>
      <c r="T36" s="805">
        <f>E36*S36</f>
        <v>40.368783000000001</v>
      </c>
      <c r="U36" s="870">
        <f>E36*Q37</f>
        <v>21.441420000000001</v>
      </c>
      <c r="V36" s="276">
        <f t="shared" si="0"/>
        <v>5.8909019460549841</v>
      </c>
      <c r="W36" s="277">
        <f t="shared" si="1"/>
        <v>53.607207709100351</v>
      </c>
      <c r="X36" s="422"/>
      <c r="Y36" s="488"/>
      <c r="Z36" s="490"/>
      <c r="AA36" s="490"/>
      <c r="AB36" s="490"/>
      <c r="AC36" s="490"/>
      <c r="AD36" s="490"/>
      <c r="AE36" s="490"/>
      <c r="AF36" s="490"/>
      <c r="AG36" s="490"/>
      <c r="AH36" s="491"/>
      <c r="AI36" s="491"/>
      <c r="AJ36" s="491"/>
      <c r="AK36" s="491"/>
      <c r="AL36" s="491"/>
    </row>
    <row r="37" spans="1:49" s="492" customFormat="1" ht="16.5" customHeight="1">
      <c r="A37" s="1224"/>
      <c r="B37" s="831"/>
      <c r="C37" s="1239"/>
      <c r="D37" s="1227"/>
      <c r="E37" s="869"/>
      <c r="F37" s="816">
        <f>F36*$J$13/1000</f>
        <v>2.0799300000000001</v>
      </c>
      <c r="G37" s="816"/>
      <c r="H37" s="816"/>
      <c r="I37" s="885">
        <f>I36*$Q$13/1000</f>
        <v>0</v>
      </c>
      <c r="J37" s="885"/>
      <c r="K37" s="885"/>
      <c r="L37" s="516" t="s">
        <v>231</v>
      </c>
      <c r="M37" s="474" t="s">
        <v>180</v>
      </c>
      <c r="N37" s="475">
        <v>1.1000000000000001</v>
      </c>
      <c r="O37" s="517">
        <f>E36*N37</f>
        <v>10.01</v>
      </c>
      <c r="P37" s="467">
        <v>2</v>
      </c>
      <c r="Q37" s="476">
        <f>N37*P37*1.071</f>
        <v>2.3562000000000003</v>
      </c>
      <c r="R37" s="479">
        <f>SUM(Q37:Q37)</f>
        <v>2.3562000000000003</v>
      </c>
      <c r="S37" s="806"/>
      <c r="T37" s="806"/>
      <c r="U37" s="871"/>
      <c r="V37" s="276">
        <f t="shared" si="0"/>
        <v>0</v>
      </c>
      <c r="W37" s="277">
        <f t="shared" si="1"/>
        <v>0</v>
      </c>
      <c r="X37" s="422"/>
      <c r="Y37" s="488"/>
      <c r="Z37" s="490"/>
      <c r="AA37" s="490"/>
      <c r="AB37" s="490"/>
      <c r="AC37" s="490"/>
      <c r="AD37" s="490"/>
      <c r="AE37" s="490"/>
      <c r="AF37" s="490"/>
      <c r="AG37" s="490"/>
      <c r="AH37" s="491"/>
      <c r="AI37" s="491"/>
      <c r="AJ37" s="491"/>
      <c r="AK37" s="491"/>
      <c r="AL37" s="491"/>
    </row>
    <row r="38" spans="1:49" s="466" customFormat="1">
      <c r="A38" s="899">
        <f>+A32+1</f>
        <v>7</v>
      </c>
      <c r="B38" s="830" t="s">
        <v>232</v>
      </c>
      <c r="C38" s="1235" t="s">
        <v>291</v>
      </c>
      <c r="D38" s="1237" t="s">
        <v>201</v>
      </c>
      <c r="E38" s="868">
        <v>9.3000000000000007</v>
      </c>
      <c r="F38" s="839">
        <f>0.001*9.86</f>
        <v>9.859999999999999E-3</v>
      </c>
      <c r="G38" s="840"/>
      <c r="H38" s="841"/>
      <c r="I38" s="839">
        <f>0.001*210.8</f>
        <v>0.21080000000000002</v>
      </c>
      <c r="J38" s="840"/>
      <c r="K38" s="841"/>
      <c r="L38" s="396"/>
      <c r="M38" s="397"/>
      <c r="N38" s="398"/>
      <c r="O38" s="398"/>
      <c r="P38" s="399"/>
      <c r="Q38" s="400"/>
      <c r="R38" s="805">
        <f>F39+I39</f>
        <v>0.70241116800000014</v>
      </c>
      <c r="S38" s="805">
        <f>R38+R39</f>
        <v>0.70241116800000014</v>
      </c>
      <c r="T38" s="805">
        <f>E38*S38</f>
        <v>6.5324238624000017</v>
      </c>
      <c r="U38" s="850">
        <f>E38*Q39</f>
        <v>0</v>
      </c>
      <c r="V38" s="276">
        <f t="shared" si="0"/>
        <v>0.93275790306008954</v>
      </c>
      <c r="W38" s="277">
        <f t="shared" si="1"/>
        <v>8.6746484984588328</v>
      </c>
      <c r="X38" s="422"/>
      <c r="Y38" s="159"/>
      <c r="Z38" s="472"/>
      <c r="AA38" s="472"/>
      <c r="AB38" s="401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</row>
    <row r="39" spans="1:49" s="466" customFormat="1">
      <c r="A39" s="1224"/>
      <c r="B39" s="831"/>
      <c r="C39" s="1236"/>
      <c r="D39" s="1237"/>
      <c r="E39" s="869"/>
      <c r="F39" s="876">
        <f>F38*$J$13/1000</f>
        <v>2.3042819999999999E-2</v>
      </c>
      <c r="G39" s="877"/>
      <c r="H39" s="878"/>
      <c r="I39" s="839">
        <f>I38*$Q$13/1000</f>
        <v>0.67936834800000012</v>
      </c>
      <c r="J39" s="840"/>
      <c r="K39" s="841"/>
      <c r="L39" s="393"/>
      <c r="M39" s="404"/>
      <c r="N39" s="405"/>
      <c r="O39" s="405"/>
      <c r="P39" s="394"/>
      <c r="Q39" s="406"/>
      <c r="R39" s="806"/>
      <c r="S39" s="806"/>
      <c r="T39" s="806"/>
      <c r="U39" s="888"/>
      <c r="V39" s="276">
        <f t="shared" si="0"/>
        <v>0</v>
      </c>
      <c r="W39" s="277">
        <f t="shared" si="1"/>
        <v>0</v>
      </c>
      <c r="X39" s="422"/>
      <c r="Y39" s="159"/>
      <c r="Z39" s="157"/>
      <c r="AA39" s="157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</row>
    <row r="40" spans="1:49" s="245" customFormat="1">
      <c r="A40" s="899">
        <f>+A38+1</f>
        <v>8</v>
      </c>
      <c r="B40" s="830" t="s">
        <v>233</v>
      </c>
      <c r="C40" s="1230" t="s">
        <v>292</v>
      </c>
      <c r="D40" s="1243" t="s">
        <v>289</v>
      </c>
      <c r="E40" s="811">
        <v>16.7</v>
      </c>
      <c r="F40" s="836"/>
      <c r="G40" s="837"/>
      <c r="H40" s="838"/>
      <c r="I40" s="839">
        <v>0.39</v>
      </c>
      <c r="J40" s="840"/>
      <c r="K40" s="841"/>
      <c r="L40" s="396"/>
      <c r="M40" s="397"/>
      <c r="N40" s="398"/>
      <c r="O40" s="398"/>
      <c r="P40" s="391"/>
      <c r="Q40" s="481"/>
      <c r="R40" s="805">
        <f>+F41+I41</f>
        <v>1.2568959</v>
      </c>
      <c r="S40" s="805">
        <f>R40+R41</f>
        <v>1.2568959</v>
      </c>
      <c r="T40" s="805">
        <f>E40:E41*S40</f>
        <v>20.990161529999998</v>
      </c>
      <c r="U40" s="807"/>
      <c r="V40" s="276">
        <f t="shared" si="0"/>
        <v>1.6690787923930386</v>
      </c>
      <c r="W40" s="277">
        <f t="shared" si="1"/>
        <v>27.873615832963743</v>
      </c>
      <c r="X40" s="422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480"/>
      <c r="AN40" s="480"/>
      <c r="AO40" s="480"/>
      <c r="AP40" s="480"/>
      <c r="AQ40" s="480"/>
      <c r="AR40" s="480"/>
      <c r="AS40" s="480"/>
      <c r="AT40" s="480"/>
      <c r="AU40" s="480"/>
      <c r="AV40" s="480"/>
      <c r="AW40" s="480"/>
    </row>
    <row r="41" spans="1:49" s="245" customFormat="1">
      <c r="A41" s="1224"/>
      <c r="B41" s="831"/>
      <c r="C41" s="1231"/>
      <c r="D41" s="1243"/>
      <c r="E41" s="812"/>
      <c r="F41" s="813"/>
      <c r="G41" s="814"/>
      <c r="H41" s="815"/>
      <c r="I41" s="816">
        <f>I40*$Q$13/1000</f>
        <v>1.2568959</v>
      </c>
      <c r="J41" s="816"/>
      <c r="K41" s="816"/>
      <c r="L41" s="393"/>
      <c r="M41" s="404"/>
      <c r="N41" s="405"/>
      <c r="O41" s="405"/>
      <c r="P41" s="394"/>
      <c r="Q41" s="482"/>
      <c r="R41" s="806"/>
      <c r="S41" s="806"/>
      <c r="T41" s="806"/>
      <c r="U41" s="808"/>
      <c r="V41" s="276">
        <f t="shared" si="0"/>
        <v>0</v>
      </c>
      <c r="W41" s="277">
        <f t="shared" si="1"/>
        <v>0</v>
      </c>
      <c r="X41" s="422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480"/>
      <c r="AN41" s="480"/>
      <c r="AO41" s="480"/>
      <c r="AP41" s="480"/>
      <c r="AQ41" s="480"/>
      <c r="AR41" s="480"/>
      <c r="AS41" s="480"/>
      <c r="AT41" s="480"/>
      <c r="AU41" s="480"/>
      <c r="AV41" s="480"/>
      <c r="AW41" s="480"/>
    </row>
    <row r="42" spans="1:49" s="338" customFormat="1" ht="15.75" customHeight="1">
      <c r="A42" s="899">
        <f>+A40+1</f>
        <v>9</v>
      </c>
      <c r="B42" s="968" t="s">
        <v>237</v>
      </c>
      <c r="C42" s="1240" t="s">
        <v>293</v>
      </c>
      <c r="D42" s="1242" t="s">
        <v>194</v>
      </c>
      <c r="E42" s="990">
        <v>23</v>
      </c>
      <c r="F42" s="976">
        <v>0.31</v>
      </c>
      <c r="G42" s="977"/>
      <c r="H42" s="978"/>
      <c r="I42" s="976">
        <v>0.2</v>
      </c>
      <c r="J42" s="977"/>
      <c r="K42" s="978"/>
      <c r="L42" s="270"/>
      <c r="M42" s="178"/>
      <c r="N42" s="548"/>
      <c r="O42" s="548"/>
      <c r="P42" s="271"/>
      <c r="Q42" s="554"/>
      <c r="R42" s="552">
        <f>F43+I43</f>
        <v>1.369032</v>
      </c>
      <c r="S42" s="979">
        <f>R42+R43</f>
        <v>12.736170075300004</v>
      </c>
      <c r="T42" s="979">
        <f>E42*S42</f>
        <v>292.93191173190007</v>
      </c>
      <c r="U42" s="992">
        <f>E42*R43</f>
        <v>261.44417573190009</v>
      </c>
      <c r="V42" s="276">
        <f t="shared" si="0"/>
        <v>16.912833727116212</v>
      </c>
      <c r="W42" s="277">
        <f t="shared" si="1"/>
        <v>388.99517572367284</v>
      </c>
      <c r="X42" s="422"/>
      <c r="Y42" s="494"/>
      <c r="Z42" s="209"/>
      <c r="AA42" s="209"/>
      <c r="AB42" s="209"/>
      <c r="AC42" s="209"/>
      <c r="AD42" s="209"/>
      <c r="AE42" s="209"/>
      <c r="AF42" s="209"/>
      <c r="AG42" s="209"/>
      <c r="AH42" s="495"/>
      <c r="AI42" s="495"/>
      <c r="AJ42" s="495"/>
      <c r="AK42" s="495"/>
      <c r="AL42" s="495"/>
      <c r="AM42" s="493"/>
    </row>
    <row r="43" spans="1:49" s="338" customFormat="1" ht="14.25" customHeight="1">
      <c r="A43" s="1224"/>
      <c r="B43" s="969"/>
      <c r="C43" s="1241"/>
      <c r="D43" s="1242"/>
      <c r="E43" s="991"/>
      <c r="F43" s="976">
        <f>F42*$J$13/1000</f>
        <v>0.72447000000000006</v>
      </c>
      <c r="G43" s="977"/>
      <c r="H43" s="978"/>
      <c r="I43" s="976">
        <f>I42*$Q$13/1000</f>
        <v>0.64456199999999997</v>
      </c>
      <c r="J43" s="977"/>
      <c r="K43" s="978"/>
      <c r="L43" s="251" t="s">
        <v>250</v>
      </c>
      <c r="M43" s="246" t="s">
        <v>116</v>
      </c>
      <c r="N43" s="247">
        <v>1</v>
      </c>
      <c r="O43" s="250">
        <f>E42*N43</f>
        <v>23</v>
      </c>
      <c r="P43" s="243">
        <v>9.8629999999999995</v>
      </c>
      <c r="Q43" s="248">
        <f>N43*P43*$N$11</f>
        <v>11.367138075300003</v>
      </c>
      <c r="R43" s="549">
        <f>SUM(Q43:Q43)</f>
        <v>11.367138075300003</v>
      </c>
      <c r="S43" s="980"/>
      <c r="T43" s="980"/>
      <c r="U43" s="993"/>
      <c r="V43" s="276">
        <f t="shared" si="0"/>
        <v>0</v>
      </c>
      <c r="W43" s="277">
        <f t="shared" si="1"/>
        <v>0</v>
      </c>
      <c r="X43" s="422"/>
      <c r="Y43" s="494"/>
      <c r="Z43" s="209"/>
      <c r="AA43" s="209"/>
      <c r="AB43" s="209"/>
      <c r="AC43" s="209"/>
      <c r="AD43" s="209"/>
      <c r="AE43" s="209"/>
      <c r="AF43" s="209"/>
      <c r="AG43" s="209"/>
      <c r="AH43" s="495"/>
      <c r="AI43" s="495"/>
      <c r="AJ43" s="495"/>
      <c r="AK43" s="495"/>
      <c r="AL43" s="495"/>
      <c r="AM43" s="493"/>
    </row>
    <row r="44" spans="1:49" s="493" customFormat="1" ht="12.95" customHeight="1">
      <c r="A44" s="1058">
        <f>+A42+1</f>
        <v>10</v>
      </c>
      <c r="B44" s="968" t="s">
        <v>251</v>
      </c>
      <c r="C44" s="1245" t="s">
        <v>294</v>
      </c>
      <c r="D44" s="1242" t="s">
        <v>194</v>
      </c>
      <c r="E44" s="990">
        <f>+E42</f>
        <v>23</v>
      </c>
      <c r="F44" s="999">
        <v>0.03</v>
      </c>
      <c r="G44" s="1000"/>
      <c r="H44" s="1001"/>
      <c r="I44" s="999">
        <v>0.17</v>
      </c>
      <c r="J44" s="1000"/>
      <c r="K44" s="1001"/>
      <c r="L44" s="342"/>
      <c r="M44" s="178"/>
      <c r="N44" s="407"/>
      <c r="O44" s="548"/>
      <c r="P44" s="548"/>
      <c r="Q44" s="547"/>
      <c r="R44" s="552">
        <f>F45+I45</f>
        <v>0.61798770000000003</v>
      </c>
      <c r="S44" s="979">
        <f>R44+R45</f>
        <v>6.3194334437347219</v>
      </c>
      <c r="T44" s="979">
        <f>E44*S44</f>
        <v>145.3469692058986</v>
      </c>
      <c r="U44" s="992">
        <f>E44*R45</f>
        <v>131.13325210589861</v>
      </c>
      <c r="V44" s="276">
        <f t="shared" si="0"/>
        <v>8.3918106033100521</v>
      </c>
      <c r="W44" s="277">
        <f t="shared" si="1"/>
        <v>193.01164387613119</v>
      </c>
      <c r="X44" s="422"/>
      <c r="Y44" s="338"/>
      <c r="Z44" s="209"/>
      <c r="AA44" s="209"/>
      <c r="AB44" s="209"/>
      <c r="AC44" s="209"/>
      <c r="AD44" s="209"/>
      <c r="AE44" s="209"/>
      <c r="AF44" s="209"/>
      <c r="AG44" s="209"/>
      <c r="AH44" s="495"/>
      <c r="AI44" s="495"/>
      <c r="AJ44" s="495"/>
      <c r="AK44" s="495"/>
      <c r="AL44" s="495"/>
      <c r="AM44" s="338"/>
    </row>
    <row r="45" spans="1:49" s="493" customFormat="1" ht="12.95" customHeight="1">
      <c r="A45" s="1059"/>
      <c r="B45" s="995"/>
      <c r="C45" s="1246"/>
      <c r="D45" s="1242"/>
      <c r="E45" s="998"/>
      <c r="F45" s="1017">
        <f>F44*$J$13/1000</f>
        <v>7.0110000000000006E-2</v>
      </c>
      <c r="G45" s="1018"/>
      <c r="H45" s="1016"/>
      <c r="I45" s="1017">
        <f>I44*$Q$13/1000</f>
        <v>0.54787770000000002</v>
      </c>
      <c r="J45" s="1018"/>
      <c r="K45" s="1016"/>
      <c r="L45" s="252" t="s">
        <v>247</v>
      </c>
      <c r="M45" s="253" t="s">
        <v>124</v>
      </c>
      <c r="N45" s="409">
        <v>1.47</v>
      </c>
      <c r="O45" s="255">
        <f>E44*N45</f>
        <v>33.81</v>
      </c>
      <c r="P45" s="239">
        <v>1.4450000000000001</v>
      </c>
      <c r="Q45" s="256">
        <f>N45*P45*$N$11</f>
        <v>2.4480894598650011</v>
      </c>
      <c r="R45" s="979">
        <f>SUM(Q45:Q47)</f>
        <v>5.7014457437347223</v>
      </c>
      <c r="S45" s="1002"/>
      <c r="T45" s="1002"/>
      <c r="U45" s="1019"/>
      <c r="V45" s="276">
        <f t="shared" si="0"/>
        <v>0</v>
      </c>
      <c r="W45" s="277">
        <f t="shared" si="1"/>
        <v>0</v>
      </c>
      <c r="X45" s="422"/>
      <c r="Y45" s="338"/>
      <c r="Z45" s="242"/>
      <c r="AA45" s="242"/>
      <c r="AB45" s="157"/>
      <c r="AC45" s="157"/>
      <c r="AD45" s="157"/>
      <c r="AE45" s="157"/>
      <c r="AF45" s="157"/>
      <c r="AG45" s="157"/>
      <c r="AH45" s="471"/>
      <c r="AI45" s="471"/>
      <c r="AJ45" s="471"/>
      <c r="AK45" s="471"/>
      <c r="AL45" s="471"/>
      <c r="AM45" s="338"/>
    </row>
    <row r="46" spans="1:49" s="493" customFormat="1" ht="12.95" customHeight="1">
      <c r="A46" s="1059"/>
      <c r="B46" s="995"/>
      <c r="C46" s="1246"/>
      <c r="D46" s="1242"/>
      <c r="E46" s="998"/>
      <c r="F46" s="1021"/>
      <c r="G46" s="1022"/>
      <c r="H46" s="1023"/>
      <c r="I46" s="1021"/>
      <c r="J46" s="1022"/>
      <c r="K46" s="1023"/>
      <c r="L46" s="262" t="s">
        <v>248</v>
      </c>
      <c r="M46" s="263" t="s">
        <v>124</v>
      </c>
      <c r="N46" s="410">
        <v>1.3644700000000001</v>
      </c>
      <c r="O46" s="264">
        <f>E44*N46</f>
        <v>31.382810000000003</v>
      </c>
      <c r="P46" s="240">
        <v>1.96</v>
      </c>
      <c r="Q46" s="265">
        <f>N46*P46*$N$11</f>
        <v>3.0822095735197208</v>
      </c>
      <c r="R46" s="1002"/>
      <c r="S46" s="1002"/>
      <c r="T46" s="1002"/>
      <c r="U46" s="1019"/>
      <c r="V46" s="276">
        <f t="shared" si="0"/>
        <v>0</v>
      </c>
      <c r="W46" s="277">
        <f t="shared" si="1"/>
        <v>0</v>
      </c>
      <c r="X46" s="422"/>
      <c r="Y46" s="494"/>
      <c r="Z46" s="242"/>
      <c r="AA46" s="242"/>
      <c r="AB46" s="157"/>
      <c r="AC46" s="157"/>
      <c r="AD46" s="157"/>
      <c r="AE46" s="157"/>
      <c r="AF46" s="157"/>
      <c r="AG46" s="157"/>
      <c r="AH46" s="471"/>
      <c r="AI46" s="471"/>
      <c r="AJ46" s="471"/>
      <c r="AK46" s="471"/>
      <c r="AL46" s="471"/>
    </row>
    <row r="47" spans="1:49" s="493" customFormat="1" ht="12.95" customHeight="1">
      <c r="A47" s="1060"/>
      <c r="B47" s="969"/>
      <c r="C47" s="1247"/>
      <c r="D47" s="1242"/>
      <c r="E47" s="991"/>
      <c r="F47" s="985"/>
      <c r="G47" s="986"/>
      <c r="H47" s="987"/>
      <c r="I47" s="985"/>
      <c r="J47" s="986"/>
      <c r="K47" s="987"/>
      <c r="L47" s="266" t="s">
        <v>249</v>
      </c>
      <c r="M47" s="257" t="s">
        <v>124</v>
      </c>
      <c r="N47" s="411">
        <v>0.15</v>
      </c>
      <c r="O47" s="259">
        <f>E44*N47</f>
        <v>3.4499999999999997</v>
      </c>
      <c r="P47" s="260">
        <v>0.99</v>
      </c>
      <c r="Q47" s="261">
        <f>N47*P47*$N$11</f>
        <v>0.17114671035000004</v>
      </c>
      <c r="R47" s="980"/>
      <c r="S47" s="980"/>
      <c r="T47" s="980"/>
      <c r="U47" s="993"/>
      <c r="V47" s="276">
        <f t="shared" si="0"/>
        <v>0</v>
      </c>
      <c r="W47" s="277">
        <f t="shared" si="1"/>
        <v>0</v>
      </c>
      <c r="X47" s="422"/>
      <c r="Z47" s="242"/>
      <c r="AA47" s="242"/>
      <c r="AB47" s="157"/>
      <c r="AC47" s="157"/>
      <c r="AD47" s="157"/>
      <c r="AE47" s="157"/>
      <c r="AF47" s="157"/>
      <c r="AG47" s="157"/>
      <c r="AH47" s="471"/>
      <c r="AI47" s="471"/>
      <c r="AJ47" s="471"/>
      <c r="AK47" s="471"/>
      <c r="AL47" s="471"/>
    </row>
    <row r="48" spans="1:49" s="338" customFormat="1" ht="12.75" customHeight="1">
      <c r="A48" s="1058">
        <f>+A38+1</f>
        <v>8</v>
      </c>
      <c r="B48" s="968" t="s">
        <v>244</v>
      </c>
      <c r="C48" s="1244" t="s">
        <v>297</v>
      </c>
      <c r="D48" s="1242" t="s">
        <v>194</v>
      </c>
      <c r="E48" s="990">
        <v>19</v>
      </c>
      <c r="F48" s="976">
        <v>0.39</v>
      </c>
      <c r="G48" s="977"/>
      <c r="H48" s="978"/>
      <c r="I48" s="976">
        <v>0.35</v>
      </c>
      <c r="J48" s="977"/>
      <c r="K48" s="978"/>
      <c r="L48" s="270"/>
      <c r="M48" s="178"/>
      <c r="N48" s="548"/>
      <c r="O48" s="548"/>
      <c r="P48" s="271"/>
      <c r="Q48" s="554"/>
      <c r="R48" s="552">
        <f>F49+I49</f>
        <v>2.0394134999999998</v>
      </c>
      <c r="S48" s="979">
        <f>R48+R49</f>
        <v>30.359872176300009</v>
      </c>
      <c r="T48" s="979">
        <f>E48*S48</f>
        <v>576.83757134970017</v>
      </c>
      <c r="U48" s="992">
        <f>E48*R49</f>
        <v>538.08871484970018</v>
      </c>
      <c r="V48" s="276">
        <f t="shared" si="0"/>
        <v>40.316002931687365</v>
      </c>
      <c r="W48" s="277">
        <f t="shared" si="1"/>
        <v>766.00405570205999</v>
      </c>
      <c r="X48" s="422"/>
    </row>
    <row r="49" spans="1:25" s="338" customFormat="1" ht="12.75" customHeight="1">
      <c r="A49" s="1060"/>
      <c r="B49" s="969"/>
      <c r="C49" s="1244"/>
      <c r="D49" s="1242"/>
      <c r="E49" s="991"/>
      <c r="F49" s="985">
        <f>F48*$J$13/1000</f>
        <v>0.91143000000000007</v>
      </c>
      <c r="G49" s="986"/>
      <c r="H49" s="987"/>
      <c r="I49" s="985">
        <f>I48*$Q$13/1000</f>
        <v>1.1279834999999998</v>
      </c>
      <c r="J49" s="986"/>
      <c r="K49" s="987"/>
      <c r="L49" s="251" t="s">
        <v>245</v>
      </c>
      <c r="M49" s="246" t="s">
        <v>116</v>
      </c>
      <c r="N49" s="247">
        <v>1</v>
      </c>
      <c r="O49" s="250">
        <f>E48*N49</f>
        <v>19</v>
      </c>
      <c r="P49" s="243">
        <v>24.573</v>
      </c>
      <c r="Q49" s="248">
        <f>N49*P49*$N$11</f>
        <v>28.32045867630001</v>
      </c>
      <c r="R49" s="549">
        <f>SUM(Q49:Q49)</f>
        <v>28.32045867630001</v>
      </c>
      <c r="S49" s="980"/>
      <c r="T49" s="980"/>
      <c r="U49" s="993"/>
      <c r="V49" s="276">
        <f t="shared" si="0"/>
        <v>0</v>
      </c>
      <c r="W49" s="277">
        <f t="shared" si="1"/>
        <v>0</v>
      </c>
      <c r="X49" s="422"/>
    </row>
    <row r="50" spans="1:25" s="493" customFormat="1" ht="12.75" customHeight="1">
      <c r="A50" s="1058">
        <f>+A48+1</f>
        <v>9</v>
      </c>
      <c r="B50" s="968" t="s">
        <v>246</v>
      </c>
      <c r="C50" s="1245" t="s">
        <v>298</v>
      </c>
      <c r="D50" s="972" t="s">
        <v>194</v>
      </c>
      <c r="E50" s="990">
        <f>+E48</f>
        <v>19</v>
      </c>
      <c r="F50" s="999">
        <v>0.03</v>
      </c>
      <c r="G50" s="1000"/>
      <c r="H50" s="1001"/>
      <c r="I50" s="999">
        <v>0.26</v>
      </c>
      <c r="J50" s="1000"/>
      <c r="K50" s="1001"/>
      <c r="L50" s="342"/>
      <c r="M50" s="178"/>
      <c r="N50" s="548"/>
      <c r="O50" s="548"/>
      <c r="P50" s="548"/>
      <c r="Q50" s="547"/>
      <c r="R50" s="552">
        <f>F51+I51</f>
        <v>0.90804060000000009</v>
      </c>
      <c r="S50" s="979">
        <f>R50+R51</f>
        <v>10.503964428092281</v>
      </c>
      <c r="T50" s="979">
        <f>E50*S50</f>
        <v>199.57532413375336</v>
      </c>
      <c r="U50" s="992">
        <f>E50*R51</f>
        <v>182.32255273375335</v>
      </c>
      <c r="V50" s="276">
        <f t="shared" si="0"/>
        <v>13.948604862964148</v>
      </c>
      <c r="W50" s="277">
        <f t="shared" si="1"/>
        <v>265.02349239631883</v>
      </c>
      <c r="X50" s="422"/>
    </row>
    <row r="51" spans="1:25" s="493" customFormat="1" ht="12.75" customHeight="1">
      <c r="A51" s="1059"/>
      <c r="B51" s="995"/>
      <c r="C51" s="1246"/>
      <c r="D51" s="997"/>
      <c r="E51" s="998"/>
      <c r="F51" s="1017">
        <f>F50*$J$13/1000</f>
        <v>7.0110000000000006E-2</v>
      </c>
      <c r="G51" s="1018"/>
      <c r="H51" s="1016"/>
      <c r="I51" s="1017">
        <f>I50*$Q$13/1000</f>
        <v>0.83793060000000008</v>
      </c>
      <c r="J51" s="1018"/>
      <c r="K51" s="1016"/>
      <c r="L51" s="252" t="s">
        <v>247</v>
      </c>
      <c r="M51" s="253" t="s">
        <v>124</v>
      </c>
      <c r="N51" s="254">
        <v>2.4</v>
      </c>
      <c r="O51" s="255">
        <f>E50*N51</f>
        <v>45.6</v>
      </c>
      <c r="P51" s="239">
        <v>1.4450000000000001</v>
      </c>
      <c r="Q51" s="256">
        <f>N51*P51*$N$11</f>
        <v>3.9968807508000013</v>
      </c>
      <c r="R51" s="979">
        <f>SUM(Q51:Q53)</f>
        <v>9.5959238280922818</v>
      </c>
      <c r="S51" s="1002"/>
      <c r="T51" s="1002"/>
      <c r="U51" s="1019"/>
      <c r="V51" s="276">
        <f t="shared" si="0"/>
        <v>0</v>
      </c>
      <c r="W51" s="277">
        <f t="shared" si="1"/>
        <v>0</v>
      </c>
      <c r="X51" s="422"/>
    </row>
    <row r="52" spans="1:25" s="493" customFormat="1" ht="12.75" customHeight="1">
      <c r="A52" s="1059"/>
      <c r="B52" s="995"/>
      <c r="C52" s="1246"/>
      <c r="D52" s="997"/>
      <c r="E52" s="998"/>
      <c r="F52" s="1021"/>
      <c r="G52" s="1022"/>
      <c r="H52" s="1023"/>
      <c r="I52" s="1021"/>
      <c r="J52" s="1022"/>
      <c r="K52" s="1023"/>
      <c r="L52" s="262" t="s">
        <v>248</v>
      </c>
      <c r="M52" s="263" t="s">
        <v>124</v>
      </c>
      <c r="N52" s="455">
        <v>2.3427799999999999</v>
      </c>
      <c r="O52" s="264">
        <f>E50*N52</f>
        <v>44.512819999999998</v>
      </c>
      <c r="P52" s="240">
        <v>1.96</v>
      </c>
      <c r="Q52" s="265">
        <f>N52*P52*$N$11</f>
        <v>5.2921199767312803</v>
      </c>
      <c r="R52" s="1002"/>
      <c r="S52" s="1002"/>
      <c r="T52" s="1002"/>
      <c r="U52" s="1019"/>
      <c r="V52" s="276">
        <f t="shared" si="0"/>
        <v>0</v>
      </c>
      <c r="W52" s="277">
        <f t="shared" si="1"/>
        <v>0</v>
      </c>
      <c r="X52" s="422"/>
    </row>
    <row r="53" spans="1:25" s="493" customFormat="1" ht="12.75" customHeight="1">
      <c r="A53" s="1060"/>
      <c r="B53" s="969"/>
      <c r="C53" s="1247"/>
      <c r="D53" s="973"/>
      <c r="E53" s="991"/>
      <c r="F53" s="985"/>
      <c r="G53" s="986"/>
      <c r="H53" s="987"/>
      <c r="I53" s="985"/>
      <c r="J53" s="986"/>
      <c r="K53" s="987"/>
      <c r="L53" s="266" t="s">
        <v>249</v>
      </c>
      <c r="M53" s="460" t="s">
        <v>124</v>
      </c>
      <c r="N53" s="258">
        <v>0.26900000000000002</v>
      </c>
      <c r="O53" s="259">
        <f>E50*N53</f>
        <v>5.1110000000000007</v>
      </c>
      <c r="P53" s="521">
        <v>0.99</v>
      </c>
      <c r="Q53" s="261">
        <f>N53*P53*$N$11</f>
        <v>0.30692310056100008</v>
      </c>
      <c r="R53" s="980"/>
      <c r="S53" s="980"/>
      <c r="T53" s="980"/>
      <c r="U53" s="993"/>
      <c r="V53" s="276">
        <f t="shared" si="0"/>
        <v>0</v>
      </c>
      <c r="W53" s="277">
        <f t="shared" si="1"/>
        <v>0</v>
      </c>
      <c r="X53" s="422"/>
    </row>
    <row r="54" spans="1:25" s="338" customFormat="1" ht="12.75" customHeight="1">
      <c r="A54" s="1058">
        <f>+A50+1</f>
        <v>10</v>
      </c>
      <c r="B54" s="968" t="s">
        <v>252</v>
      </c>
      <c r="C54" s="1244" t="s">
        <v>295</v>
      </c>
      <c r="D54" s="1242" t="s">
        <v>194</v>
      </c>
      <c r="E54" s="990">
        <v>3</v>
      </c>
      <c r="F54" s="976">
        <v>0.33</v>
      </c>
      <c r="G54" s="977"/>
      <c r="H54" s="978"/>
      <c r="I54" s="976">
        <v>0.31</v>
      </c>
      <c r="J54" s="977"/>
      <c r="K54" s="978"/>
      <c r="L54" s="270"/>
      <c r="M54" s="178"/>
      <c r="N54" s="548"/>
      <c r="O54" s="548"/>
      <c r="P54" s="271"/>
      <c r="Q54" s="554"/>
      <c r="R54" s="552">
        <f>F55+I55</f>
        <v>1.7702811000000001</v>
      </c>
      <c r="S54" s="979">
        <f>R54+R55</f>
        <v>21.84342759270001</v>
      </c>
      <c r="T54" s="979">
        <f>E54*S54</f>
        <v>65.53028277810003</v>
      </c>
      <c r="U54" s="992">
        <f>E54*R55</f>
        <v>60.219439478100028</v>
      </c>
      <c r="V54" s="276">
        <f t="shared" si="0"/>
        <v>29.00669955892808</v>
      </c>
      <c r="W54" s="277">
        <f t="shared" si="1"/>
        <v>87.020098676784244</v>
      </c>
      <c r="X54" s="422"/>
    </row>
    <row r="55" spans="1:25" s="338" customFormat="1" ht="12.75" customHeight="1">
      <c r="A55" s="1060"/>
      <c r="B55" s="969"/>
      <c r="C55" s="1244"/>
      <c r="D55" s="1242"/>
      <c r="E55" s="991"/>
      <c r="F55" s="976">
        <f>F54*$J$13/1000</f>
        <v>0.77121000000000006</v>
      </c>
      <c r="G55" s="977"/>
      <c r="H55" s="978"/>
      <c r="I55" s="976">
        <f>I54*$Q$13/1000</f>
        <v>0.99907109999999999</v>
      </c>
      <c r="J55" s="977"/>
      <c r="K55" s="978"/>
      <c r="L55" s="251" t="s">
        <v>253</v>
      </c>
      <c r="M55" s="246" t="s">
        <v>116</v>
      </c>
      <c r="N55" s="247">
        <v>1</v>
      </c>
      <c r="O55" s="250">
        <f>E54*N55</f>
        <v>3</v>
      </c>
      <c r="P55" s="243">
        <v>17.417000000000002</v>
      </c>
      <c r="Q55" s="248">
        <f>N55*P55*$N$11</f>
        <v>20.073146492700008</v>
      </c>
      <c r="R55" s="549">
        <f>SUM(Q55:Q55)</f>
        <v>20.073146492700008</v>
      </c>
      <c r="S55" s="980"/>
      <c r="T55" s="980"/>
      <c r="U55" s="993"/>
      <c r="V55" s="276">
        <f t="shared" si="0"/>
        <v>0</v>
      </c>
      <c r="W55" s="277">
        <f t="shared" si="1"/>
        <v>0</v>
      </c>
      <c r="X55" s="422"/>
    </row>
    <row r="56" spans="1:25" s="401" customFormat="1" ht="12.75" customHeight="1">
      <c r="A56" s="1058">
        <f>+A54+1</f>
        <v>11</v>
      </c>
      <c r="B56" s="968" t="s">
        <v>254</v>
      </c>
      <c r="C56" s="1245" t="s">
        <v>296</v>
      </c>
      <c r="D56" s="972" t="s">
        <v>194</v>
      </c>
      <c r="E56" s="990">
        <f>+E54</f>
        <v>3</v>
      </c>
      <c r="F56" s="999">
        <v>0.03</v>
      </c>
      <c r="G56" s="1000"/>
      <c r="H56" s="1001"/>
      <c r="I56" s="999">
        <v>0.25</v>
      </c>
      <c r="J56" s="1000"/>
      <c r="K56" s="1001"/>
      <c r="L56" s="342"/>
      <c r="M56" s="178"/>
      <c r="N56" s="407"/>
      <c r="O56" s="548"/>
      <c r="P56" s="548"/>
      <c r="Q56" s="547"/>
      <c r="R56" s="552">
        <f>F57+I57</f>
        <v>0.87581249999999999</v>
      </c>
      <c r="S56" s="979">
        <f>R56+R57</f>
        <v>8.5748964769771217</v>
      </c>
      <c r="T56" s="979">
        <f>E56*S56</f>
        <v>25.724689430931363</v>
      </c>
      <c r="U56" s="992">
        <f>E56*R57</f>
        <v>23.097251930931368</v>
      </c>
      <c r="V56" s="276">
        <f t="shared" si="0"/>
        <v>11.386923815001939</v>
      </c>
      <c r="W56" s="277">
        <f t="shared" si="1"/>
        <v>34.160771445005821</v>
      </c>
      <c r="X56" s="422"/>
    </row>
    <row r="57" spans="1:25" s="401" customFormat="1" ht="12.75" customHeight="1">
      <c r="A57" s="1059"/>
      <c r="B57" s="995"/>
      <c r="C57" s="1246"/>
      <c r="D57" s="997"/>
      <c r="E57" s="998"/>
      <c r="F57" s="1017">
        <f>F56*$J$13/1000</f>
        <v>7.0110000000000006E-2</v>
      </c>
      <c r="G57" s="1018"/>
      <c r="H57" s="1016"/>
      <c r="I57" s="1017">
        <f>I56*$Q$13/1000</f>
        <v>0.80570249999999999</v>
      </c>
      <c r="J57" s="1018"/>
      <c r="K57" s="1016"/>
      <c r="L57" s="252" t="s">
        <v>247</v>
      </c>
      <c r="M57" s="253" t="s">
        <v>124</v>
      </c>
      <c r="N57" s="518">
        <v>1.93</v>
      </c>
      <c r="O57" s="255">
        <f>E56*N57</f>
        <v>5.79</v>
      </c>
      <c r="P57" s="239">
        <v>1.4450000000000001</v>
      </c>
      <c r="Q57" s="256">
        <f>N57*P57*$N$11</f>
        <v>3.2141582704350009</v>
      </c>
      <c r="R57" s="979">
        <f>SUM(Q57:Q59)</f>
        <v>7.6990839769771222</v>
      </c>
      <c r="S57" s="1002"/>
      <c r="T57" s="1002"/>
      <c r="U57" s="1019"/>
      <c r="V57" s="276">
        <f t="shared" si="0"/>
        <v>0</v>
      </c>
      <c r="W57" s="277">
        <f t="shared" si="1"/>
        <v>0</v>
      </c>
      <c r="X57" s="422"/>
    </row>
    <row r="58" spans="1:25" s="401" customFormat="1" ht="12.75" customHeight="1">
      <c r="A58" s="1059"/>
      <c r="B58" s="995"/>
      <c r="C58" s="1246"/>
      <c r="D58" s="997"/>
      <c r="E58" s="998"/>
      <c r="F58" s="1021"/>
      <c r="G58" s="1022"/>
      <c r="H58" s="1023"/>
      <c r="I58" s="1021"/>
      <c r="J58" s="1022"/>
      <c r="K58" s="1023"/>
      <c r="L58" s="262" t="s">
        <v>248</v>
      </c>
      <c r="M58" s="263" t="s">
        <v>124</v>
      </c>
      <c r="N58" s="519">
        <v>1.87937</v>
      </c>
      <c r="O58" s="264">
        <f>E56*N58</f>
        <v>5.6381100000000002</v>
      </c>
      <c r="P58" s="240">
        <v>1.96</v>
      </c>
      <c r="Q58" s="265">
        <f>N58*P58*$N$11</f>
        <v>4.2453203120521215</v>
      </c>
      <c r="R58" s="1002"/>
      <c r="S58" s="1002"/>
      <c r="T58" s="1002"/>
      <c r="U58" s="1019"/>
      <c r="V58" s="276">
        <f t="shared" si="0"/>
        <v>0</v>
      </c>
      <c r="W58" s="277">
        <f t="shared" si="1"/>
        <v>0</v>
      </c>
      <c r="X58" s="422"/>
    </row>
    <row r="59" spans="1:25" s="401" customFormat="1" ht="12.75" customHeight="1">
      <c r="A59" s="1060"/>
      <c r="B59" s="969"/>
      <c r="C59" s="1247"/>
      <c r="D59" s="973"/>
      <c r="E59" s="991"/>
      <c r="F59" s="985"/>
      <c r="G59" s="986"/>
      <c r="H59" s="987"/>
      <c r="I59" s="985"/>
      <c r="J59" s="986"/>
      <c r="K59" s="987"/>
      <c r="L59" s="266" t="s">
        <v>249</v>
      </c>
      <c r="M59" s="460" t="s">
        <v>124</v>
      </c>
      <c r="N59" s="411">
        <v>0.21</v>
      </c>
      <c r="O59" s="259">
        <f>E56*N59</f>
        <v>0.63</v>
      </c>
      <c r="P59" s="521">
        <v>0.99</v>
      </c>
      <c r="Q59" s="261">
        <f>N59*P59*$N$11</f>
        <v>0.23960539449000007</v>
      </c>
      <c r="R59" s="980"/>
      <c r="S59" s="980"/>
      <c r="T59" s="980"/>
      <c r="U59" s="993"/>
      <c r="V59" s="276">
        <f t="shared" si="0"/>
        <v>0</v>
      </c>
      <c r="W59" s="277">
        <f t="shared" si="1"/>
        <v>0</v>
      </c>
      <c r="X59" s="422"/>
    </row>
    <row r="60" spans="1:25" s="496" customFormat="1" ht="12.75" customHeight="1">
      <c r="A60" s="1058">
        <f>+A56+1</f>
        <v>12</v>
      </c>
      <c r="B60" s="968" t="s">
        <v>234</v>
      </c>
      <c r="C60" s="1248" t="s">
        <v>299</v>
      </c>
      <c r="D60" s="1249" t="s">
        <v>197</v>
      </c>
      <c r="E60" s="974">
        <v>5</v>
      </c>
      <c r="F60" s="1017">
        <v>1.75</v>
      </c>
      <c r="G60" s="1018"/>
      <c r="H60" s="1016"/>
      <c r="I60" s="1017">
        <v>0.95</v>
      </c>
      <c r="J60" s="1018"/>
      <c r="K60" s="1016"/>
      <c r="L60" s="342"/>
      <c r="M60" s="178"/>
      <c r="N60" s="548"/>
      <c r="O60" s="548"/>
      <c r="P60" s="548"/>
      <c r="Q60" s="256"/>
      <c r="R60" s="552">
        <f>F61+I61</f>
        <v>7.1514195000000003</v>
      </c>
      <c r="S60" s="979">
        <f>R60+R61</f>
        <v>14.22760724137753</v>
      </c>
      <c r="T60" s="979">
        <f>E60*S60</f>
        <v>71.138036206887648</v>
      </c>
      <c r="U60" s="1048">
        <f>R61*E60</f>
        <v>35.380938706887655</v>
      </c>
      <c r="V60" s="276">
        <f t="shared" si="0"/>
        <v>18.893368586118278</v>
      </c>
      <c r="W60" s="277">
        <f t="shared" si="1"/>
        <v>94.466842930591383</v>
      </c>
      <c r="X60" s="422"/>
      <c r="Y60" s="497"/>
    </row>
    <row r="61" spans="1:25" s="496" customFormat="1" ht="12">
      <c r="A61" s="1059"/>
      <c r="B61" s="995"/>
      <c r="C61" s="1248"/>
      <c r="D61" s="1249"/>
      <c r="E61" s="1250"/>
      <c r="F61" s="1252">
        <f>F60*$J$13/1000</f>
        <v>4.0897500000000004</v>
      </c>
      <c r="G61" s="1253"/>
      <c r="H61" s="1254"/>
      <c r="I61" s="1258">
        <f>I60*$Q$13/1000</f>
        <v>3.0616694999999998</v>
      </c>
      <c r="J61" s="1259"/>
      <c r="K61" s="1260"/>
      <c r="L61" s="252" t="s">
        <v>235</v>
      </c>
      <c r="M61" s="253" t="s">
        <v>123</v>
      </c>
      <c r="N61" s="409">
        <v>5</v>
      </c>
      <c r="O61" s="255">
        <f>E60*N61</f>
        <v>25</v>
      </c>
      <c r="P61" s="239">
        <v>1.1659999999999999</v>
      </c>
      <c r="Q61" s="256">
        <f>N61*P61*$N$11</f>
        <v>6.7190930730000025</v>
      </c>
      <c r="R61" s="1094">
        <f>SUM(Q61:Q62)</f>
        <v>7.0761877413775309</v>
      </c>
      <c r="S61" s="1002"/>
      <c r="T61" s="1002"/>
      <c r="U61" s="1251"/>
      <c r="V61" s="276">
        <f t="shared" si="0"/>
        <v>0</v>
      </c>
      <c r="W61" s="277">
        <f t="shared" si="1"/>
        <v>0</v>
      </c>
      <c r="X61" s="422"/>
      <c r="Y61" s="497"/>
    </row>
    <row r="62" spans="1:25" s="496" customFormat="1" ht="13.5" customHeight="1">
      <c r="A62" s="1060"/>
      <c r="B62" s="969"/>
      <c r="C62" s="1248"/>
      <c r="D62" s="1249"/>
      <c r="E62" s="975"/>
      <c r="F62" s="1255"/>
      <c r="G62" s="1256"/>
      <c r="H62" s="1257"/>
      <c r="I62" s="1261"/>
      <c r="J62" s="1262"/>
      <c r="K62" s="1263"/>
      <c r="L62" s="266" t="s">
        <v>236</v>
      </c>
      <c r="M62" s="257" t="s">
        <v>124</v>
      </c>
      <c r="N62" s="411">
        <v>0.36</v>
      </c>
      <c r="O62" s="259">
        <f>E60*N62</f>
        <v>1.7999999999999998</v>
      </c>
      <c r="P62" s="260">
        <v>0.86067415730337082</v>
      </c>
      <c r="Q62" s="261">
        <f>N62*P62*$N$11</f>
        <v>0.35709466837752818</v>
      </c>
      <c r="R62" s="1094"/>
      <c r="S62" s="980"/>
      <c r="T62" s="980"/>
      <c r="U62" s="1049"/>
      <c r="V62" s="276">
        <f t="shared" si="0"/>
        <v>0</v>
      </c>
      <c r="W62" s="277">
        <f t="shared" si="1"/>
        <v>0</v>
      </c>
      <c r="X62" s="422"/>
      <c r="Y62" s="497"/>
    </row>
    <row r="63" spans="1:25" s="498" customFormat="1">
      <c r="A63" s="1269">
        <f>+A60+1</f>
        <v>13</v>
      </c>
      <c r="B63" s="1272" t="s">
        <v>257</v>
      </c>
      <c r="C63" s="970" t="s">
        <v>300</v>
      </c>
      <c r="D63" s="1273" t="s">
        <v>197</v>
      </c>
      <c r="E63" s="1276">
        <v>3</v>
      </c>
      <c r="F63" s="1265">
        <f>4.72*0.25</f>
        <v>1.18</v>
      </c>
      <c r="G63" s="1265"/>
      <c r="H63" s="1265"/>
      <c r="I63" s="1265">
        <f>2.07*0.25</f>
        <v>0.51749999999999996</v>
      </c>
      <c r="J63" s="1265"/>
      <c r="K63" s="1277"/>
      <c r="L63" s="342"/>
      <c r="M63" s="178"/>
      <c r="N63" s="548"/>
      <c r="O63" s="548"/>
      <c r="P63" s="548"/>
      <c r="Q63" s="256"/>
      <c r="R63" s="520">
        <f>F64+I64</f>
        <v>4.4254641750000001</v>
      </c>
      <c r="S63" s="1265">
        <f>R63+R64</f>
        <v>7.6026173838202258</v>
      </c>
      <c r="T63" s="1265">
        <f>E63*S63</f>
        <v>22.807852151460679</v>
      </c>
      <c r="U63" s="1264">
        <f>R64*E63</f>
        <v>9.531459626460677</v>
      </c>
      <c r="V63" s="276">
        <f t="shared" si="0"/>
        <v>10.095798261425616</v>
      </c>
      <c r="W63" s="277">
        <f t="shared" si="1"/>
        <v>30.287394784276849</v>
      </c>
      <c r="X63" s="422"/>
    </row>
    <row r="64" spans="1:25" s="498" customFormat="1">
      <c r="A64" s="1270"/>
      <c r="B64" s="1272"/>
      <c r="C64" s="996"/>
      <c r="D64" s="1274"/>
      <c r="E64" s="1276"/>
      <c r="F64" s="1252">
        <f>F63*$J$13/1000</f>
        <v>2.75766</v>
      </c>
      <c r="G64" s="1253"/>
      <c r="H64" s="1254"/>
      <c r="I64" s="1258">
        <f>I63*$Q$13/1000</f>
        <v>1.6678041749999997</v>
      </c>
      <c r="J64" s="1259"/>
      <c r="K64" s="1260"/>
      <c r="L64" s="252" t="s">
        <v>255</v>
      </c>
      <c r="M64" s="253" t="s">
        <v>124</v>
      </c>
      <c r="N64" s="409">
        <v>2.5</v>
      </c>
      <c r="O64" s="255">
        <f>E63*N64</f>
        <v>7.5</v>
      </c>
      <c r="P64" s="239">
        <v>0.26</v>
      </c>
      <c r="Q64" s="256">
        <f>N64*P64*$N$11</f>
        <v>0.74912701500000023</v>
      </c>
      <c r="R64" s="1265">
        <f>SUM(Q64:Q65)</f>
        <v>3.1771532088202257</v>
      </c>
      <c r="S64" s="1265"/>
      <c r="T64" s="1265"/>
      <c r="U64" s="1264"/>
      <c r="V64" s="276">
        <f t="shared" si="0"/>
        <v>0</v>
      </c>
      <c r="W64" s="277">
        <f t="shared" si="1"/>
        <v>0</v>
      </c>
      <c r="X64" s="422"/>
    </row>
    <row r="65" spans="1:38" s="498" customFormat="1">
      <c r="A65" s="1271"/>
      <c r="B65" s="1272"/>
      <c r="C65" s="971"/>
      <c r="D65" s="1275"/>
      <c r="E65" s="1276"/>
      <c r="F65" s="1255"/>
      <c r="G65" s="1256"/>
      <c r="H65" s="1257"/>
      <c r="I65" s="1261"/>
      <c r="J65" s="1262"/>
      <c r="K65" s="1263"/>
      <c r="L65" s="262" t="s">
        <v>256</v>
      </c>
      <c r="M65" s="263" t="s">
        <v>124</v>
      </c>
      <c r="N65" s="410">
        <v>1.5</v>
      </c>
      <c r="O65" s="264">
        <f>E63*N65</f>
        <v>4.5</v>
      </c>
      <c r="P65" s="240">
        <f>1.25/0.89</f>
        <v>1.4044943820224718</v>
      </c>
      <c r="Q65" s="265">
        <f>N65*P65*$N$11</f>
        <v>2.4280261938202252</v>
      </c>
      <c r="R65" s="1265"/>
      <c r="S65" s="1265"/>
      <c r="T65" s="1265"/>
      <c r="U65" s="1264"/>
      <c r="V65" s="276">
        <f t="shared" si="0"/>
        <v>0</v>
      </c>
      <c r="W65" s="277">
        <f t="shared" si="1"/>
        <v>0</v>
      </c>
      <c r="X65" s="422"/>
    </row>
    <row r="66" spans="1:38" s="156" customFormat="1" ht="17.25" customHeight="1">
      <c r="A66" s="1058">
        <f>+A63+1</f>
        <v>14</v>
      </c>
      <c r="B66" s="968" t="s">
        <v>258</v>
      </c>
      <c r="C66" s="970" t="s">
        <v>301</v>
      </c>
      <c r="D66" s="972" t="s">
        <v>197</v>
      </c>
      <c r="E66" s="974">
        <v>4</v>
      </c>
      <c r="F66" s="1266">
        <v>1.3</v>
      </c>
      <c r="G66" s="1267"/>
      <c r="H66" s="1268"/>
      <c r="I66" s="1266">
        <v>2</v>
      </c>
      <c r="J66" s="1267"/>
      <c r="K66" s="1268"/>
      <c r="L66" s="339"/>
      <c r="M66" s="178"/>
      <c r="N66" s="548"/>
      <c r="O66" s="548"/>
      <c r="P66" s="548"/>
      <c r="Q66" s="547"/>
      <c r="R66" s="552">
        <f>F67+I67</f>
        <v>9.4837199999999999</v>
      </c>
      <c r="S66" s="979">
        <f>R66+R67</f>
        <v>11.3761300902</v>
      </c>
      <c r="T66" s="979">
        <f>E66*S66</f>
        <v>45.504520360800001</v>
      </c>
      <c r="U66" s="992">
        <f>+R67*E66</f>
        <v>7.569640360800002</v>
      </c>
      <c r="V66" s="276">
        <f t="shared" si="0"/>
        <v>15.106786069599819</v>
      </c>
      <c r="W66" s="277">
        <f t="shared" si="1"/>
        <v>60.427144278399275</v>
      </c>
      <c r="X66" s="422"/>
    </row>
    <row r="67" spans="1:38" s="156" customFormat="1" ht="14.25" customHeight="1">
      <c r="A67" s="1060"/>
      <c r="B67" s="969"/>
      <c r="C67" s="971"/>
      <c r="D67" s="973"/>
      <c r="E67" s="975"/>
      <c r="F67" s="1266">
        <f>F66*J$13/1000</f>
        <v>3.0381</v>
      </c>
      <c r="G67" s="1267"/>
      <c r="H67" s="1268"/>
      <c r="I67" s="1266">
        <f>I66*$Q$13/1000</f>
        <v>6.4456199999999999</v>
      </c>
      <c r="J67" s="1267"/>
      <c r="K67" s="1268"/>
      <c r="L67" s="340" t="s">
        <v>83</v>
      </c>
      <c r="M67" s="246" t="s">
        <v>164</v>
      </c>
      <c r="N67" s="341">
        <v>1</v>
      </c>
      <c r="O67" s="250">
        <f>E66*N67</f>
        <v>4</v>
      </c>
      <c r="P67" s="243">
        <v>1.6419999999999999</v>
      </c>
      <c r="Q67" s="248">
        <f>N67*P67*$N$11</f>
        <v>1.8924100902000005</v>
      </c>
      <c r="R67" s="550">
        <f>SUM(Q67:Q67)</f>
        <v>1.8924100902000005</v>
      </c>
      <c r="S67" s="980"/>
      <c r="T67" s="980"/>
      <c r="U67" s="993"/>
      <c r="V67" s="276">
        <f t="shared" si="0"/>
        <v>0</v>
      </c>
      <c r="W67" s="277">
        <f t="shared" si="1"/>
        <v>0</v>
      </c>
      <c r="X67" s="422"/>
    </row>
    <row r="68" spans="1:38" s="245" customFormat="1" ht="20.25" customHeight="1">
      <c r="A68" s="899">
        <f>+A66+1</f>
        <v>15</v>
      </c>
      <c r="B68" s="830" t="s">
        <v>259</v>
      </c>
      <c r="C68" s="1279" t="s">
        <v>302</v>
      </c>
      <c r="D68" s="1280" t="s">
        <v>201</v>
      </c>
      <c r="E68" s="1228">
        <v>14</v>
      </c>
      <c r="F68" s="1283">
        <f>205/100</f>
        <v>2.0499999999999998</v>
      </c>
      <c r="G68" s="1283"/>
      <c r="H68" s="1283"/>
      <c r="I68" s="1278">
        <v>0</v>
      </c>
      <c r="J68" s="1278"/>
      <c r="K68" s="1278"/>
      <c r="L68" s="390"/>
      <c r="M68" s="391"/>
      <c r="N68" s="391"/>
      <c r="O68" s="391"/>
      <c r="P68" s="391"/>
      <c r="Q68" s="392"/>
      <c r="R68" s="805">
        <f>F69+I69</f>
        <v>4.7908499999999998</v>
      </c>
      <c r="S68" s="805">
        <f>R68+R69</f>
        <v>4.7908499999999998</v>
      </c>
      <c r="T68" s="805">
        <f>E68*S68</f>
        <v>67.071899999999999</v>
      </c>
      <c r="U68" s="850"/>
      <c r="V68" s="276">
        <f t="shared" si="0"/>
        <v>6.3619478212445353</v>
      </c>
      <c r="W68" s="277">
        <f t="shared" si="1"/>
        <v>89.067269497423496</v>
      </c>
      <c r="X68" s="422"/>
    </row>
    <row r="69" spans="1:38" s="245" customFormat="1" ht="20.25" customHeight="1">
      <c r="A69" s="1224"/>
      <c r="B69" s="831"/>
      <c r="C69" s="1279"/>
      <c r="D69" s="1280"/>
      <c r="E69" s="1281"/>
      <c r="F69" s="816">
        <f>F68*$J$13/1000</f>
        <v>4.7908499999999998</v>
      </c>
      <c r="G69" s="816"/>
      <c r="H69" s="816"/>
      <c r="I69" s="1278">
        <f>I68*$Q$13/1000</f>
        <v>0</v>
      </c>
      <c r="J69" s="1278"/>
      <c r="K69" s="1278"/>
      <c r="L69" s="393"/>
      <c r="M69" s="394"/>
      <c r="N69" s="394"/>
      <c r="O69" s="394"/>
      <c r="P69" s="394"/>
      <c r="Q69" s="395"/>
      <c r="R69" s="806"/>
      <c r="S69" s="806"/>
      <c r="T69" s="806"/>
      <c r="U69" s="888"/>
      <c r="V69" s="276">
        <f t="shared" si="0"/>
        <v>0</v>
      </c>
      <c r="W69" s="277">
        <f t="shared" si="1"/>
        <v>0</v>
      </c>
      <c r="X69" s="422"/>
    </row>
    <row r="70" spans="1:38" s="245" customFormat="1" ht="21.75" customHeight="1">
      <c r="A70" s="899">
        <f>+A68+1</f>
        <v>16</v>
      </c>
      <c r="B70" s="856" t="s">
        <v>243</v>
      </c>
      <c r="C70" s="1279" t="s">
        <v>303</v>
      </c>
      <c r="D70" s="1280" t="s">
        <v>201</v>
      </c>
      <c r="E70" s="1229">
        <v>5.7</v>
      </c>
      <c r="F70" s="1225">
        <f>0.01*474</f>
        <v>4.74</v>
      </c>
      <c r="G70" s="1225"/>
      <c r="H70" s="1225"/>
      <c r="I70" s="1282">
        <v>0</v>
      </c>
      <c r="J70" s="1282"/>
      <c r="K70" s="1282"/>
      <c r="L70" s="390"/>
      <c r="M70" s="391"/>
      <c r="N70" s="391"/>
      <c r="O70" s="391"/>
      <c r="P70" s="391"/>
      <c r="Q70" s="392"/>
      <c r="R70" s="887">
        <f>F71+I71</f>
        <v>11.077380000000002</v>
      </c>
      <c r="S70" s="887">
        <f>R70+R71</f>
        <v>11.077380000000002</v>
      </c>
      <c r="T70" s="887">
        <f>E70*S70</f>
        <v>63.141066000000009</v>
      </c>
      <c r="U70" s="851"/>
      <c r="V70" s="276">
        <f t="shared" si="0"/>
        <v>14.710064718389805</v>
      </c>
      <c r="W70" s="277">
        <f t="shared" si="1"/>
        <v>83.847368894821898</v>
      </c>
      <c r="X70" s="422"/>
    </row>
    <row r="71" spans="1:38" s="500" customFormat="1" ht="18" customHeight="1">
      <c r="A71" s="1224"/>
      <c r="B71" s="856"/>
      <c r="C71" s="1279"/>
      <c r="D71" s="1280"/>
      <c r="E71" s="1281"/>
      <c r="F71" s="816">
        <f>F70*$J$13/1000</f>
        <v>11.077380000000002</v>
      </c>
      <c r="G71" s="816"/>
      <c r="H71" s="816"/>
      <c r="I71" s="885">
        <f>I70*$Q$13/1000</f>
        <v>0</v>
      </c>
      <c r="J71" s="885"/>
      <c r="K71" s="885"/>
      <c r="L71" s="393"/>
      <c r="M71" s="394"/>
      <c r="N71" s="394"/>
      <c r="O71" s="394"/>
      <c r="P71" s="394"/>
      <c r="Q71" s="395"/>
      <c r="R71" s="887"/>
      <c r="S71" s="806"/>
      <c r="T71" s="806"/>
      <c r="U71" s="851"/>
      <c r="V71" s="276">
        <f t="shared" si="0"/>
        <v>0</v>
      </c>
      <c r="W71" s="277">
        <f t="shared" si="1"/>
        <v>0</v>
      </c>
      <c r="X71" s="422"/>
      <c r="Y71" s="466"/>
      <c r="Z71" s="466"/>
      <c r="AA71" s="466"/>
      <c r="AB71" s="466"/>
      <c r="AC71" s="466"/>
      <c r="AD71" s="466"/>
      <c r="AE71" s="466"/>
      <c r="AF71" s="499"/>
      <c r="AG71" s="499"/>
      <c r="AH71" s="499"/>
      <c r="AI71" s="499"/>
      <c r="AJ71" s="499"/>
    </row>
    <row r="72" spans="1:38" s="403" customFormat="1" ht="12.75" customHeight="1">
      <c r="A72" s="1292">
        <f>+A70+1</f>
        <v>17</v>
      </c>
      <c r="B72" s="1294" t="s">
        <v>181</v>
      </c>
      <c r="C72" s="1296" t="s">
        <v>202</v>
      </c>
      <c r="D72" s="1298" t="s">
        <v>203</v>
      </c>
      <c r="E72" s="1228">
        <v>19.7</v>
      </c>
      <c r="F72" s="1286">
        <f>0.01*56.2</f>
        <v>0.56200000000000006</v>
      </c>
      <c r="G72" s="1286"/>
      <c r="H72" s="1286"/>
      <c r="I72" s="1300"/>
      <c r="J72" s="1300"/>
      <c r="K72" s="1300"/>
      <c r="L72" s="390"/>
      <c r="M72" s="391"/>
      <c r="N72" s="391"/>
      <c r="O72" s="391"/>
      <c r="P72" s="391"/>
      <c r="Q72" s="392"/>
      <c r="R72" s="1284">
        <f>F73+I73</f>
        <v>1.3133940000000002</v>
      </c>
      <c r="S72" s="1284">
        <f>R72+R73</f>
        <v>1.3133940000000002</v>
      </c>
      <c r="T72" s="1284">
        <f>E72*S72</f>
        <v>25.873861800000004</v>
      </c>
      <c r="U72" s="526"/>
      <c r="V72" s="276">
        <f t="shared" si="0"/>
        <v>1.7441047197753312</v>
      </c>
      <c r="W72" s="277">
        <f t="shared" si="1"/>
        <v>34.35886297957402</v>
      </c>
      <c r="X72" s="422"/>
      <c r="Y72" s="527"/>
      <c r="Z72" s="401"/>
      <c r="AA72" s="401"/>
      <c r="AB72" s="401"/>
      <c r="AC72" s="401"/>
      <c r="AD72" s="401"/>
      <c r="AE72" s="401"/>
      <c r="AF72" s="401"/>
      <c r="AG72" s="401"/>
      <c r="AH72" s="402"/>
      <c r="AI72" s="402"/>
      <c r="AJ72" s="402"/>
      <c r="AK72" s="402"/>
      <c r="AL72" s="402"/>
    </row>
    <row r="73" spans="1:38" s="403" customFormat="1" ht="12.75" customHeight="1">
      <c r="A73" s="1293"/>
      <c r="B73" s="1295"/>
      <c r="C73" s="1297"/>
      <c r="D73" s="1299"/>
      <c r="E73" s="1281"/>
      <c r="F73" s="1286">
        <f>F72*$J$13/1000</f>
        <v>1.3133940000000002</v>
      </c>
      <c r="G73" s="1286"/>
      <c r="H73" s="1286"/>
      <c r="I73" s="1287">
        <f>J72*$Q$13/1000</f>
        <v>0</v>
      </c>
      <c r="J73" s="1287"/>
      <c r="K73" s="1287"/>
      <c r="L73" s="393"/>
      <c r="M73" s="394"/>
      <c r="N73" s="394"/>
      <c r="O73" s="394"/>
      <c r="P73" s="394"/>
      <c r="Q73" s="395"/>
      <c r="R73" s="1285"/>
      <c r="S73" s="1285"/>
      <c r="T73" s="1285"/>
      <c r="U73" s="528"/>
      <c r="V73" s="276">
        <f t="shared" si="0"/>
        <v>0</v>
      </c>
      <c r="W73" s="277">
        <f t="shared" si="1"/>
        <v>0</v>
      </c>
      <c r="X73" s="422"/>
      <c r="Y73" s="158"/>
      <c r="Z73" s="401"/>
      <c r="AA73" s="401"/>
      <c r="AB73" s="401"/>
      <c r="AC73" s="401"/>
      <c r="AD73" s="401"/>
      <c r="AE73" s="401"/>
      <c r="AF73" s="401"/>
      <c r="AG73" s="401"/>
      <c r="AH73" s="402"/>
      <c r="AI73" s="402"/>
      <c r="AJ73" s="402"/>
      <c r="AK73" s="402"/>
      <c r="AL73" s="402"/>
    </row>
    <row r="74" spans="1:38" s="408" customFormat="1" ht="12.75" customHeight="1">
      <c r="A74" s="1058">
        <f>+A72+1</f>
        <v>18</v>
      </c>
      <c r="B74" s="968" t="s">
        <v>182</v>
      </c>
      <c r="C74" s="1288" t="s">
        <v>204</v>
      </c>
      <c r="D74" s="823" t="s">
        <v>201</v>
      </c>
      <c r="E74" s="990">
        <v>19.7</v>
      </c>
      <c r="F74" s="999">
        <v>2.78</v>
      </c>
      <c r="G74" s="1000"/>
      <c r="H74" s="1001"/>
      <c r="I74" s="999">
        <v>0.34</v>
      </c>
      <c r="J74" s="1000"/>
      <c r="K74" s="1001"/>
      <c r="L74" s="342"/>
      <c r="M74" s="178"/>
      <c r="N74" s="407"/>
      <c r="O74" s="548"/>
      <c r="P74" s="548"/>
      <c r="Q74" s="547"/>
      <c r="R74" s="552">
        <f>F75+I75</f>
        <v>7.5926153999999997</v>
      </c>
      <c r="S74" s="979">
        <f>R74+R75</f>
        <v>46.176733652216264</v>
      </c>
      <c r="T74" s="979">
        <f>E74*S74</f>
        <v>909.68165294866037</v>
      </c>
      <c r="U74" s="992">
        <f>E74*R75</f>
        <v>760.10712956866041</v>
      </c>
      <c r="V74" s="276">
        <f t="shared" si="0"/>
        <v>61.319801298497438</v>
      </c>
      <c r="W74" s="277">
        <f t="shared" si="1"/>
        <v>1208.0000855803994</v>
      </c>
      <c r="X74" s="422"/>
    </row>
    <row r="75" spans="1:38" s="408" customFormat="1" ht="12">
      <c r="A75" s="1059"/>
      <c r="B75" s="995"/>
      <c r="C75" s="1289"/>
      <c r="D75" s="1291"/>
      <c r="E75" s="998"/>
      <c r="F75" s="1017">
        <f>F74*$J$13/1000</f>
        <v>6.4968599999999999</v>
      </c>
      <c r="G75" s="1018"/>
      <c r="H75" s="1016"/>
      <c r="I75" s="1017">
        <f>I74*$Q$13/1000</f>
        <v>1.0957554</v>
      </c>
      <c r="J75" s="1018"/>
      <c r="K75" s="1016"/>
      <c r="L75" s="252" t="s">
        <v>183</v>
      </c>
      <c r="M75" s="253" t="s">
        <v>184</v>
      </c>
      <c r="N75" s="409">
        <v>1.02</v>
      </c>
      <c r="O75" s="255">
        <f>E74*N75</f>
        <v>20.094000000000001</v>
      </c>
      <c r="P75" s="240">
        <v>27.25</v>
      </c>
      <c r="Q75" s="256">
        <f>N75*P75*$N$11</f>
        <v>32.033823664500012</v>
      </c>
      <c r="R75" s="979">
        <f>SUM(Q75:Q77)</f>
        <v>38.584118252216264</v>
      </c>
      <c r="S75" s="1002"/>
      <c r="T75" s="1002"/>
      <c r="U75" s="1019"/>
      <c r="V75" s="276">
        <f t="shared" si="0"/>
        <v>0</v>
      </c>
      <c r="W75" s="277">
        <f t="shared" si="1"/>
        <v>0</v>
      </c>
      <c r="X75" s="422"/>
    </row>
    <row r="76" spans="1:38" s="408" customFormat="1" ht="12">
      <c r="A76" s="1059"/>
      <c r="B76" s="995"/>
      <c r="C76" s="1289"/>
      <c r="D76" s="1291"/>
      <c r="E76" s="998"/>
      <c r="F76" s="1021"/>
      <c r="G76" s="1022"/>
      <c r="H76" s="1023"/>
      <c r="I76" s="1021"/>
      <c r="J76" s="1022"/>
      <c r="K76" s="1023"/>
      <c r="L76" s="262" t="s">
        <v>185</v>
      </c>
      <c r="M76" s="263" t="s">
        <v>186</v>
      </c>
      <c r="N76" s="410">
        <v>1.17</v>
      </c>
      <c r="O76" s="264">
        <f>E74*N76</f>
        <v>23.048999999999999</v>
      </c>
      <c r="P76" s="240">
        <v>3.5</v>
      </c>
      <c r="Q76" s="265">
        <f>N76*P76*$N$11</f>
        <v>4.719500194500001</v>
      </c>
      <c r="R76" s="1002"/>
      <c r="S76" s="1002"/>
      <c r="T76" s="1002"/>
      <c r="U76" s="1019"/>
      <c r="V76" s="276">
        <f t="shared" si="0"/>
        <v>0</v>
      </c>
      <c r="W76" s="277">
        <f t="shared" si="1"/>
        <v>0</v>
      </c>
      <c r="X76" s="422"/>
    </row>
    <row r="77" spans="1:38" s="408" customFormat="1" ht="13.5" customHeight="1">
      <c r="A77" s="1060"/>
      <c r="B77" s="969"/>
      <c r="C77" s="1290"/>
      <c r="D77" s="824"/>
      <c r="E77" s="991"/>
      <c r="F77" s="985"/>
      <c r="G77" s="986"/>
      <c r="H77" s="987"/>
      <c r="I77" s="985"/>
      <c r="J77" s="986"/>
      <c r="K77" s="987"/>
      <c r="L77" s="266" t="s">
        <v>187</v>
      </c>
      <c r="M77" s="257" t="s">
        <v>184</v>
      </c>
      <c r="N77" s="411">
        <v>1.2500000000000001E-2</v>
      </c>
      <c r="O77" s="259">
        <f>E74*N77</f>
        <v>0.24625</v>
      </c>
      <c r="P77" s="373">
        <v>127.083</v>
      </c>
      <c r="Q77" s="261">
        <f>N77*P77*$N$11</f>
        <v>1.8307943932162507</v>
      </c>
      <c r="R77" s="980"/>
      <c r="S77" s="980"/>
      <c r="T77" s="980"/>
      <c r="U77" s="993"/>
      <c r="V77" s="276">
        <f t="shared" si="0"/>
        <v>0</v>
      </c>
      <c r="W77" s="277">
        <f t="shared" si="1"/>
        <v>0</v>
      </c>
      <c r="X77" s="422"/>
    </row>
    <row r="78" spans="1:38" s="416" customFormat="1" ht="14.25" customHeight="1">
      <c r="A78" s="1058">
        <f>+A74+1</f>
        <v>19</v>
      </c>
      <c r="B78" s="968" t="s">
        <v>188</v>
      </c>
      <c r="C78" s="1301" t="s">
        <v>206</v>
      </c>
      <c r="D78" s="1304" t="s">
        <v>199</v>
      </c>
      <c r="E78" s="1307">
        <v>88.6</v>
      </c>
      <c r="F78" s="1308">
        <f>0.001*14.8</f>
        <v>1.4800000000000001E-2</v>
      </c>
      <c r="G78" s="1309"/>
      <c r="H78" s="1310"/>
      <c r="I78" s="999">
        <f>0.001*4.98</f>
        <v>4.9800000000000009E-3</v>
      </c>
      <c r="J78" s="1000"/>
      <c r="K78" s="1001"/>
      <c r="L78" s="342" t="s">
        <v>260</v>
      </c>
      <c r="M78" s="178"/>
      <c r="N78" s="407"/>
      <c r="O78" s="548"/>
      <c r="P78" s="548"/>
      <c r="Q78" s="547"/>
      <c r="R78" s="551">
        <f>F79+I79</f>
        <v>5.0637193800000008E-2</v>
      </c>
      <c r="S78" s="1070">
        <f>R78+R79</f>
        <v>0.68863524988560021</v>
      </c>
      <c r="T78" s="1070">
        <f>E78*S78</f>
        <v>61.013083139864172</v>
      </c>
      <c r="U78" s="1311">
        <f>R79*E78</f>
        <v>56.526627769184174</v>
      </c>
      <c r="V78" s="276">
        <f t="shared" si="0"/>
        <v>0.91446434925783115</v>
      </c>
      <c r="W78" s="277">
        <f t="shared" si="1"/>
        <v>81.021541344243829</v>
      </c>
      <c r="X78" s="422"/>
      <c r="Y78" s="157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</row>
    <row r="79" spans="1:38" s="416" customFormat="1" ht="14.25" customHeight="1">
      <c r="A79" s="1059"/>
      <c r="B79" s="995"/>
      <c r="C79" s="1302"/>
      <c r="D79" s="1305"/>
      <c r="E79" s="1307"/>
      <c r="F79" s="1070">
        <f>F78*J$13/1000</f>
        <v>3.4587600000000003E-2</v>
      </c>
      <c r="G79" s="1070"/>
      <c r="H79" s="1070"/>
      <c r="I79" s="1070">
        <f>I78*$Q$13/1000</f>
        <v>1.6049593800000005E-2</v>
      </c>
      <c r="J79" s="1070"/>
      <c r="K79" s="1070"/>
      <c r="L79" s="252" t="s">
        <v>189</v>
      </c>
      <c r="M79" s="253" t="s">
        <v>124</v>
      </c>
      <c r="N79" s="409">
        <v>1</v>
      </c>
      <c r="O79" s="255">
        <f>E78*N79</f>
        <v>88.6</v>
      </c>
      <c r="P79" s="239">
        <v>0.55000000000000004</v>
      </c>
      <c r="Q79" s="256">
        <f>N79*P79*$N$11</f>
        <v>0.63387670500000026</v>
      </c>
      <c r="R79" s="1070">
        <f>SUM(Q79:Q80)</f>
        <v>0.63799805608560023</v>
      </c>
      <c r="S79" s="1070"/>
      <c r="T79" s="1070"/>
      <c r="U79" s="1311"/>
      <c r="V79" s="276">
        <f t="shared" si="0"/>
        <v>0</v>
      </c>
      <c r="W79" s="277">
        <f t="shared" si="1"/>
        <v>0</v>
      </c>
      <c r="X79" s="422"/>
      <c r="Y79" s="157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</row>
    <row r="80" spans="1:38" s="416" customFormat="1" ht="13.5" customHeight="1">
      <c r="A80" s="1060"/>
      <c r="B80" s="969"/>
      <c r="C80" s="1303"/>
      <c r="D80" s="1306"/>
      <c r="E80" s="1307"/>
      <c r="F80" s="1070"/>
      <c r="G80" s="1070"/>
      <c r="H80" s="1070"/>
      <c r="I80" s="1070"/>
      <c r="J80" s="1070"/>
      <c r="K80" s="1070"/>
      <c r="L80" s="262" t="s">
        <v>190</v>
      </c>
      <c r="M80" s="263" t="s">
        <v>124</v>
      </c>
      <c r="N80" s="410">
        <v>4.0000000000000001E-3</v>
      </c>
      <c r="O80" s="264">
        <f>E78*N80</f>
        <v>0.35439999999999999</v>
      </c>
      <c r="P80" s="240">
        <v>0.89400000000000002</v>
      </c>
      <c r="Q80" s="415">
        <f t="shared" ref="Q80" si="3">N80*P80*$N$11</f>
        <v>4.1213510856000016E-3</v>
      </c>
      <c r="R80" s="1070"/>
      <c r="S80" s="1070"/>
      <c r="T80" s="1070"/>
      <c r="U80" s="1311"/>
      <c r="V80" s="276">
        <f t="shared" si="0"/>
        <v>0</v>
      </c>
      <c r="W80" s="277">
        <f t="shared" si="1"/>
        <v>0</v>
      </c>
      <c r="X80" s="422"/>
      <c r="Y80" s="157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</row>
    <row r="81" spans="1:38" s="244" customFormat="1">
      <c r="A81" s="1058">
        <f>+A78+1</f>
        <v>20</v>
      </c>
      <c r="B81" s="1272" t="s">
        <v>191</v>
      </c>
      <c r="C81" s="1301" t="s">
        <v>207</v>
      </c>
      <c r="D81" s="1304" t="s">
        <v>199</v>
      </c>
      <c r="E81" s="1314">
        <v>6.7</v>
      </c>
      <c r="F81" s="1312"/>
      <c r="G81" s="1312"/>
      <c r="H81" s="1312"/>
      <c r="I81" s="1313"/>
      <c r="J81" s="1313"/>
      <c r="K81" s="1313"/>
      <c r="L81" s="417"/>
      <c r="M81" s="418"/>
      <c r="N81" s="418"/>
      <c r="O81" s="418"/>
      <c r="P81" s="418"/>
      <c r="Q81" s="419"/>
      <c r="R81" s="553"/>
      <c r="S81" s="1265">
        <f>R81+R82</f>
        <v>1.294947303370787</v>
      </c>
      <c r="T81" s="1265">
        <f>E81*S81</f>
        <v>8.6761469325842739</v>
      </c>
      <c r="U81" s="1264">
        <f>R82*E81</f>
        <v>8.6761469325842739</v>
      </c>
      <c r="V81" s="276">
        <f t="shared" si="0"/>
        <v>1.7196086655408256</v>
      </c>
      <c r="W81" s="277">
        <f t="shared" si="1"/>
        <v>11.521378059123531</v>
      </c>
      <c r="X81" s="422"/>
    </row>
    <row r="82" spans="1:38" s="244" customFormat="1" ht="13.5" customHeight="1">
      <c r="A82" s="1060"/>
      <c r="B82" s="1272"/>
      <c r="C82" s="1303"/>
      <c r="D82" s="1306"/>
      <c r="E82" s="1314"/>
      <c r="F82" s="1312"/>
      <c r="G82" s="1312"/>
      <c r="H82" s="1312"/>
      <c r="I82" s="1313"/>
      <c r="J82" s="1313"/>
      <c r="K82" s="1313"/>
      <c r="L82" s="249" t="s">
        <v>192</v>
      </c>
      <c r="M82" s="253" t="s">
        <v>124</v>
      </c>
      <c r="N82" s="267">
        <v>1</v>
      </c>
      <c r="O82" s="268">
        <f>E81*N82</f>
        <v>6.7</v>
      </c>
      <c r="P82" s="243">
        <f>1 /0.89</f>
        <v>1.1235955056179776</v>
      </c>
      <c r="Q82" s="236">
        <f>N82*P82*$N$11</f>
        <v>1.294947303370787</v>
      </c>
      <c r="R82" s="553">
        <f>SUM(Q82:Q82)</f>
        <v>1.294947303370787</v>
      </c>
      <c r="S82" s="1265"/>
      <c r="T82" s="1265"/>
      <c r="U82" s="1264"/>
      <c r="V82" s="276">
        <f t="shared" si="0"/>
        <v>0</v>
      </c>
      <c r="W82" s="277">
        <f t="shared" si="1"/>
        <v>0</v>
      </c>
      <c r="X82" s="422"/>
    </row>
    <row r="83" spans="1:38" s="157" customFormat="1" ht="14.25" customHeight="1">
      <c r="A83" s="1058">
        <f>+A81+1</f>
        <v>21</v>
      </c>
      <c r="B83" s="968" t="s">
        <v>261</v>
      </c>
      <c r="C83" s="988" t="s">
        <v>304</v>
      </c>
      <c r="D83" s="972" t="s">
        <v>199</v>
      </c>
      <c r="E83" s="990">
        <v>60.8</v>
      </c>
      <c r="F83" s="999">
        <v>0.124</v>
      </c>
      <c r="G83" s="1000"/>
      <c r="H83" s="1001"/>
      <c r="I83" s="1039">
        <f>1.4/1000</f>
        <v>1.4E-3</v>
      </c>
      <c r="J83" s="1040"/>
      <c r="K83" s="1041"/>
      <c r="L83" s="342"/>
      <c r="M83" s="178"/>
      <c r="N83" s="548"/>
      <c r="O83" s="546"/>
      <c r="P83" s="548"/>
      <c r="Q83" s="547"/>
      <c r="R83" s="552">
        <f>F84+I84</f>
        <v>0.29429993399999999</v>
      </c>
      <c r="S83" s="979">
        <f>R83+R84</f>
        <v>0.640050864</v>
      </c>
      <c r="T83" s="979">
        <f>E83*S83</f>
        <v>38.915092531199996</v>
      </c>
      <c r="U83" s="1048">
        <f>R84*E83</f>
        <v>21.021656544000002</v>
      </c>
      <c r="V83" s="276">
        <f t="shared" si="0"/>
        <v>0.84994733705093717</v>
      </c>
      <c r="W83" s="277">
        <f t="shared" si="1"/>
        <v>51.676798092696977</v>
      </c>
      <c r="X83" s="422"/>
      <c r="Y83" s="242"/>
    </row>
    <row r="84" spans="1:38" s="157" customFormat="1" ht="27.75" customHeight="1">
      <c r="A84" s="1060"/>
      <c r="B84" s="995"/>
      <c r="C84" s="989"/>
      <c r="D84" s="973"/>
      <c r="E84" s="998"/>
      <c r="F84" s="1017">
        <f>F83*J$13/1000</f>
        <v>0.28978799999999999</v>
      </c>
      <c r="G84" s="1018"/>
      <c r="H84" s="1016"/>
      <c r="I84" s="1053">
        <f>I83*$Q$13/1000</f>
        <v>4.5119340000000004E-3</v>
      </c>
      <c r="J84" s="1054"/>
      <c r="K84" s="1055"/>
      <c r="L84" s="249" t="s">
        <v>262</v>
      </c>
      <c r="M84" s="253" t="s">
        <v>124</v>
      </c>
      <c r="N84" s="267">
        <v>1</v>
      </c>
      <c r="O84" s="268">
        <f>E83*N84</f>
        <v>60.8</v>
      </c>
      <c r="P84" s="246">
        <v>0.3</v>
      </c>
      <c r="Q84" s="236">
        <f>N84*P84*$N$11</f>
        <v>0.34575093000000007</v>
      </c>
      <c r="R84" s="550">
        <f>SUM(Q84:Q84)</f>
        <v>0.34575093000000007</v>
      </c>
      <c r="S84" s="1002"/>
      <c r="T84" s="1002"/>
      <c r="U84" s="1251"/>
      <c r="V84" s="276">
        <f t="shared" si="0"/>
        <v>0</v>
      </c>
      <c r="W84" s="277">
        <f t="shared" si="1"/>
        <v>0</v>
      </c>
      <c r="X84" s="422"/>
      <c r="Y84" s="242"/>
    </row>
    <row r="85" spans="1:38" s="413" customFormat="1" ht="14.25" customHeight="1">
      <c r="A85" s="1058">
        <f>+A83+1</f>
        <v>22</v>
      </c>
      <c r="B85" s="968" t="s">
        <v>188</v>
      </c>
      <c r="C85" s="1248" t="s">
        <v>305</v>
      </c>
      <c r="D85" s="1315" t="s">
        <v>199</v>
      </c>
      <c r="E85" s="1307">
        <f>536.6+241.5</f>
        <v>778.1</v>
      </c>
      <c r="F85" s="1308">
        <f>0.001*14.8</f>
        <v>1.4800000000000001E-2</v>
      </c>
      <c r="G85" s="1309"/>
      <c r="H85" s="1310"/>
      <c r="I85" s="999">
        <f>0.001*4.98</f>
        <v>4.9800000000000009E-3</v>
      </c>
      <c r="J85" s="1000"/>
      <c r="K85" s="1001"/>
      <c r="L85" s="342"/>
      <c r="M85" s="178"/>
      <c r="N85" s="407"/>
      <c r="O85" s="548"/>
      <c r="P85" s="561"/>
      <c r="Q85" s="547"/>
      <c r="R85" s="551">
        <f>F86+I86</f>
        <v>5.0637193800000008E-2</v>
      </c>
      <c r="S85" s="1070">
        <f>R85+R86</f>
        <v>0.71638404801207312</v>
      </c>
      <c r="T85" s="1070">
        <f>E85*S85</f>
        <v>557.41842775819407</v>
      </c>
      <c r="U85" s="1311">
        <f>R86*E85</f>
        <v>518.01762726241407</v>
      </c>
      <c r="V85" s="276">
        <f t="shared" si="0"/>
        <v>0.95131300988858947</v>
      </c>
      <c r="W85" s="277">
        <f t="shared" si="1"/>
        <v>740.21665299431152</v>
      </c>
      <c r="X85" s="422"/>
      <c r="Y85" s="501"/>
      <c r="Z85" s="412"/>
      <c r="AA85" s="412"/>
      <c r="AB85" s="412"/>
      <c r="AC85" s="412"/>
      <c r="AD85" s="412"/>
      <c r="AE85" s="412"/>
      <c r="AF85" s="412"/>
      <c r="AG85" s="412"/>
      <c r="AH85" s="412"/>
      <c r="AI85" s="412"/>
      <c r="AJ85" s="412"/>
      <c r="AK85" s="412"/>
      <c r="AL85" s="412"/>
    </row>
    <row r="86" spans="1:38" s="413" customFormat="1" ht="14.25" customHeight="1">
      <c r="A86" s="1059"/>
      <c r="B86" s="995"/>
      <c r="C86" s="1248"/>
      <c r="D86" s="1315"/>
      <c r="E86" s="1307"/>
      <c r="F86" s="1070">
        <f>F85*J$13/1000</f>
        <v>3.4587600000000003E-2</v>
      </c>
      <c r="G86" s="1070"/>
      <c r="H86" s="1070"/>
      <c r="I86" s="1070">
        <f>I85*$Q$13/1000</f>
        <v>1.6049593800000005E-2</v>
      </c>
      <c r="J86" s="1070"/>
      <c r="K86" s="1070"/>
      <c r="L86" s="252" t="s">
        <v>189</v>
      </c>
      <c r="M86" s="253" t="s">
        <v>124</v>
      </c>
      <c r="N86" s="409">
        <v>1</v>
      </c>
      <c r="O86" s="255">
        <f>E85*N86</f>
        <v>778.1</v>
      </c>
      <c r="P86" s="239">
        <f>7.308/12.73</f>
        <v>0.57407698350353498</v>
      </c>
      <c r="Q86" s="256">
        <f>N86*P86*$N$11</f>
        <v>0.66162550312647317</v>
      </c>
      <c r="R86" s="1070">
        <f>SUM(Q86:Q87)</f>
        <v>0.66574685421207314</v>
      </c>
      <c r="S86" s="1070"/>
      <c r="T86" s="1070"/>
      <c r="U86" s="1311"/>
      <c r="V86" s="276">
        <f t="shared" si="0"/>
        <v>0</v>
      </c>
      <c r="W86" s="277">
        <f t="shared" si="1"/>
        <v>0</v>
      </c>
      <c r="X86" s="422"/>
      <c r="Y86" s="501"/>
      <c r="Z86" s="412"/>
      <c r="AA86" s="412"/>
      <c r="AB86" s="412"/>
      <c r="AC86" s="412"/>
      <c r="AD86" s="412"/>
      <c r="AE86" s="412"/>
      <c r="AF86" s="412"/>
      <c r="AG86" s="412"/>
      <c r="AH86" s="412"/>
      <c r="AI86" s="412"/>
      <c r="AJ86" s="412"/>
      <c r="AK86" s="412"/>
      <c r="AL86" s="412"/>
    </row>
    <row r="87" spans="1:38" s="413" customFormat="1" ht="13.5" customHeight="1">
      <c r="A87" s="1060"/>
      <c r="B87" s="969"/>
      <c r="C87" s="1248"/>
      <c r="D87" s="1315"/>
      <c r="E87" s="1307"/>
      <c r="F87" s="1070"/>
      <c r="G87" s="1070"/>
      <c r="H87" s="1070"/>
      <c r="I87" s="1070"/>
      <c r="J87" s="1070"/>
      <c r="K87" s="1070"/>
      <c r="L87" s="262" t="s">
        <v>190</v>
      </c>
      <c r="M87" s="263" t="s">
        <v>124</v>
      </c>
      <c r="N87" s="410">
        <v>4.0000000000000001E-3</v>
      </c>
      <c r="O87" s="240">
        <f>E85*N87</f>
        <v>3.1124000000000001</v>
      </c>
      <c r="P87" s="414">
        <v>0.89400000000000002</v>
      </c>
      <c r="Q87" s="415">
        <f t="shared" ref="Q87" si="4">N87*P87*$N$11</f>
        <v>4.1213510856000016E-3</v>
      </c>
      <c r="R87" s="1070"/>
      <c r="S87" s="1070"/>
      <c r="T87" s="1070"/>
      <c r="U87" s="1311"/>
      <c r="V87" s="276">
        <f t="shared" si="0"/>
        <v>0</v>
      </c>
      <c r="W87" s="277">
        <f t="shared" si="1"/>
        <v>0</v>
      </c>
      <c r="X87" s="422"/>
      <c r="Y87" s="501"/>
      <c r="Z87" s="412"/>
      <c r="AA87" s="412"/>
      <c r="AB87" s="412"/>
      <c r="AC87" s="412"/>
      <c r="AD87" s="412"/>
      <c r="AE87" s="412"/>
      <c r="AF87" s="412"/>
      <c r="AG87" s="412"/>
      <c r="AH87" s="412"/>
      <c r="AI87" s="412"/>
      <c r="AJ87" s="412"/>
      <c r="AK87" s="412"/>
      <c r="AL87" s="412"/>
    </row>
    <row r="88" spans="1:38" s="413" customFormat="1" ht="14.25" customHeight="1">
      <c r="A88" s="1058">
        <f>+A85+1</f>
        <v>23</v>
      </c>
      <c r="B88" s="968" t="s">
        <v>188</v>
      </c>
      <c r="C88" s="988" t="s">
        <v>205</v>
      </c>
      <c r="D88" s="972" t="s">
        <v>199</v>
      </c>
      <c r="E88" s="1307">
        <f>1581.1+13.5</f>
        <v>1594.6</v>
      </c>
      <c r="F88" s="1308">
        <f>0.001*14.8</f>
        <v>1.4800000000000001E-2</v>
      </c>
      <c r="G88" s="1309"/>
      <c r="H88" s="1310"/>
      <c r="I88" s="999">
        <f>0.001*4.98</f>
        <v>4.9800000000000009E-3</v>
      </c>
      <c r="J88" s="1000"/>
      <c r="K88" s="1001"/>
      <c r="L88" s="342"/>
      <c r="M88" s="178"/>
      <c r="N88" s="407"/>
      <c r="O88" s="548"/>
      <c r="P88" s="561"/>
      <c r="Q88" s="547"/>
      <c r="R88" s="551">
        <f>F89+I89</f>
        <v>5.0637193800000008E-2</v>
      </c>
      <c r="S88" s="1070">
        <f>R88+R89</f>
        <v>0.67732364538560008</v>
      </c>
      <c r="T88" s="1070">
        <f>E88*S88</f>
        <v>1080.0602849318777</v>
      </c>
      <c r="U88" s="1311">
        <f>R89*E88</f>
        <v>999.3142156983979</v>
      </c>
      <c r="V88" s="276">
        <f t="shared" si="0"/>
        <v>0.89944324911828266</v>
      </c>
      <c r="W88" s="277">
        <f t="shared" si="1"/>
        <v>1434.2522050440134</v>
      </c>
      <c r="X88" s="422"/>
      <c r="Y88" s="501"/>
      <c r="Z88" s="412"/>
      <c r="AA88" s="412"/>
      <c r="AB88" s="412"/>
      <c r="AC88" s="412"/>
      <c r="AD88" s="412"/>
      <c r="AE88" s="412"/>
      <c r="AF88" s="412"/>
      <c r="AG88" s="412"/>
      <c r="AH88" s="412"/>
      <c r="AI88" s="412"/>
      <c r="AJ88" s="412"/>
      <c r="AK88" s="412"/>
      <c r="AL88" s="412"/>
    </row>
    <row r="89" spans="1:38" s="413" customFormat="1" ht="14.25" customHeight="1">
      <c r="A89" s="1059"/>
      <c r="B89" s="995"/>
      <c r="C89" s="1020"/>
      <c r="D89" s="997"/>
      <c r="E89" s="1307"/>
      <c r="F89" s="1070">
        <f>F88*J$13/1000</f>
        <v>3.4587600000000003E-2</v>
      </c>
      <c r="G89" s="1070"/>
      <c r="H89" s="1070"/>
      <c r="I89" s="1070">
        <f>I88*$Q$13/1000</f>
        <v>1.6049593800000005E-2</v>
      </c>
      <c r="J89" s="1070"/>
      <c r="K89" s="1070"/>
      <c r="L89" s="252" t="s">
        <v>189</v>
      </c>
      <c r="M89" s="253" t="s">
        <v>124</v>
      </c>
      <c r="N89" s="409">
        <v>1</v>
      </c>
      <c r="O89" s="255">
        <f>E88*N89</f>
        <v>1594.6</v>
      </c>
      <c r="P89" s="239">
        <f>2.917/5.4</f>
        <v>0.5401851851851851</v>
      </c>
      <c r="Q89" s="256">
        <f>N89*P89*$N$11</f>
        <v>0.62256510050000013</v>
      </c>
      <c r="R89" s="1070">
        <f>SUM(Q89:Q90)</f>
        <v>0.6266864515856001</v>
      </c>
      <c r="S89" s="1070"/>
      <c r="T89" s="1070"/>
      <c r="U89" s="1311"/>
      <c r="V89" s="276">
        <f t="shared" si="0"/>
        <v>0</v>
      </c>
      <c r="W89" s="277">
        <f t="shared" si="1"/>
        <v>0</v>
      </c>
      <c r="X89" s="422"/>
      <c r="Y89" s="501"/>
      <c r="Z89" s="412"/>
      <c r="AA89" s="412"/>
      <c r="AB89" s="412"/>
      <c r="AC89" s="412"/>
      <c r="AD89" s="412"/>
      <c r="AE89" s="412"/>
      <c r="AF89" s="412"/>
      <c r="AG89" s="412"/>
      <c r="AH89" s="412"/>
      <c r="AI89" s="412"/>
      <c r="AJ89" s="412"/>
      <c r="AK89" s="412"/>
      <c r="AL89" s="412"/>
    </row>
    <row r="90" spans="1:38" s="413" customFormat="1" ht="13.5" customHeight="1">
      <c r="A90" s="1060"/>
      <c r="B90" s="969"/>
      <c r="C90" s="989"/>
      <c r="D90" s="973"/>
      <c r="E90" s="1307"/>
      <c r="F90" s="1070"/>
      <c r="G90" s="1070"/>
      <c r="H90" s="1070"/>
      <c r="I90" s="1070"/>
      <c r="J90" s="1070"/>
      <c r="K90" s="1070"/>
      <c r="L90" s="262" t="s">
        <v>190</v>
      </c>
      <c r="M90" s="263" t="s">
        <v>124</v>
      </c>
      <c r="N90" s="410">
        <v>4.0000000000000001E-3</v>
      </c>
      <c r="O90" s="240">
        <f>E88*N90</f>
        <v>6.3784000000000001</v>
      </c>
      <c r="P90" s="414">
        <v>0.89400000000000002</v>
      </c>
      <c r="Q90" s="415">
        <f t="shared" ref="Q90" si="5">N90*P90*$N$11</f>
        <v>4.1213510856000016E-3</v>
      </c>
      <c r="R90" s="1070"/>
      <c r="S90" s="1070"/>
      <c r="T90" s="1070"/>
      <c r="U90" s="1311"/>
      <c r="V90" s="276">
        <f t="shared" si="0"/>
        <v>0</v>
      </c>
      <c r="W90" s="277">
        <f t="shared" si="1"/>
        <v>0</v>
      </c>
      <c r="X90" s="422"/>
      <c r="Y90" s="501"/>
      <c r="Z90" s="412"/>
      <c r="AA90" s="412"/>
      <c r="AB90" s="412"/>
      <c r="AC90" s="412"/>
      <c r="AD90" s="412"/>
      <c r="AE90" s="412"/>
      <c r="AF90" s="412"/>
      <c r="AG90" s="412"/>
      <c r="AH90" s="412"/>
      <c r="AI90" s="412"/>
      <c r="AJ90" s="412"/>
      <c r="AK90" s="412"/>
      <c r="AL90" s="412"/>
    </row>
    <row r="91" spans="1:38" s="426" customFormat="1" ht="14.25" customHeight="1">
      <c r="A91" s="1058">
        <f>+A88+1</f>
        <v>24</v>
      </c>
      <c r="B91" s="968" t="s">
        <v>188</v>
      </c>
      <c r="C91" s="1240" t="s">
        <v>220</v>
      </c>
      <c r="D91" s="972" t="s">
        <v>199</v>
      </c>
      <c r="E91" s="1318">
        <v>80.400000000000006</v>
      </c>
      <c r="F91" s="1308">
        <f>0.001*14.8</f>
        <v>1.4800000000000001E-2</v>
      </c>
      <c r="G91" s="1309"/>
      <c r="H91" s="1310"/>
      <c r="I91" s="1321">
        <f>0.001*4.98</f>
        <v>4.9800000000000009E-3</v>
      </c>
      <c r="J91" s="1322"/>
      <c r="K91" s="1323"/>
      <c r="L91" s="342"/>
      <c r="M91" s="178"/>
      <c r="N91" s="407"/>
      <c r="O91" s="548"/>
      <c r="P91" s="548"/>
      <c r="Q91" s="547"/>
      <c r="R91" s="551">
        <f>F92+I92</f>
        <v>5.0637193800000008E-2</v>
      </c>
      <c r="S91" s="1070">
        <f>R91+R92</f>
        <v>0.80938991469120014</v>
      </c>
      <c r="T91" s="1070">
        <f>E91*S91</f>
        <v>65.074949141172496</v>
      </c>
      <c r="U91" s="1311">
        <f>R92*E91</f>
        <v>61.0037187596525</v>
      </c>
      <c r="V91" s="276">
        <f t="shared" si="0"/>
        <v>1.074818957869059</v>
      </c>
      <c r="W91" s="277">
        <f t="shared" si="1"/>
        <v>86.415444212672355</v>
      </c>
      <c r="X91" s="422"/>
      <c r="Y91" s="424"/>
      <c r="Z91" s="425"/>
      <c r="AA91" s="425"/>
      <c r="AB91" s="425"/>
      <c r="AC91" s="425"/>
      <c r="AD91" s="425"/>
      <c r="AE91" s="425"/>
      <c r="AF91" s="425"/>
      <c r="AG91" s="425"/>
      <c r="AH91" s="425"/>
      <c r="AI91" s="425"/>
      <c r="AJ91" s="425"/>
      <c r="AK91" s="425"/>
      <c r="AL91" s="425"/>
    </row>
    <row r="92" spans="1:38" s="426" customFormat="1" ht="13.5" customHeight="1">
      <c r="A92" s="1059"/>
      <c r="B92" s="995"/>
      <c r="C92" s="1317"/>
      <c r="D92" s="997"/>
      <c r="E92" s="1319"/>
      <c r="F92" s="1070">
        <f>F91*J$13/1000</f>
        <v>3.4587600000000003E-2</v>
      </c>
      <c r="G92" s="1070"/>
      <c r="H92" s="1070"/>
      <c r="I92" s="1070">
        <f>I91*$Q$13/1000</f>
        <v>1.6049593800000005E-2</v>
      </c>
      <c r="J92" s="1070"/>
      <c r="K92" s="1070"/>
      <c r="L92" s="252" t="s">
        <v>208</v>
      </c>
      <c r="M92" s="253" t="s">
        <v>124</v>
      </c>
      <c r="N92" s="409">
        <v>1</v>
      </c>
      <c r="O92" s="255">
        <f>E91*N92</f>
        <v>80.400000000000006</v>
      </c>
      <c r="P92" s="239">
        <v>0.65</v>
      </c>
      <c r="Q92" s="256">
        <f>N92*P92*$N$11</f>
        <v>0.74912701500000023</v>
      </c>
      <c r="R92" s="1070">
        <f>SUM(Q92:Q94)</f>
        <v>0.75875272089120016</v>
      </c>
      <c r="S92" s="1070"/>
      <c r="T92" s="1070"/>
      <c r="U92" s="1311"/>
      <c r="V92" s="276">
        <f t="shared" si="0"/>
        <v>0</v>
      </c>
      <c r="W92" s="277">
        <f t="shared" si="1"/>
        <v>0</v>
      </c>
      <c r="X92" s="422"/>
      <c r="Y92" s="424"/>
      <c r="Z92" s="425"/>
      <c r="AA92" s="425"/>
      <c r="AB92" s="425"/>
      <c r="AC92" s="425"/>
      <c r="AD92" s="425"/>
      <c r="AE92" s="425"/>
      <c r="AF92" s="425"/>
      <c r="AG92" s="425"/>
      <c r="AH92" s="425"/>
      <c r="AI92" s="425"/>
      <c r="AJ92" s="425"/>
      <c r="AK92" s="425"/>
      <c r="AL92" s="425"/>
    </row>
    <row r="93" spans="1:38" s="426" customFormat="1" ht="13.5" customHeight="1">
      <c r="A93" s="1059"/>
      <c r="B93" s="995"/>
      <c r="C93" s="1317"/>
      <c r="D93" s="997"/>
      <c r="E93" s="1319"/>
      <c r="F93" s="1070"/>
      <c r="G93" s="1070"/>
      <c r="H93" s="1070"/>
      <c r="I93" s="1070"/>
      <c r="J93" s="1070"/>
      <c r="K93" s="1070"/>
      <c r="L93" s="262" t="s">
        <v>190</v>
      </c>
      <c r="M93" s="263" t="s">
        <v>124</v>
      </c>
      <c r="N93" s="410">
        <v>4.0000000000000001E-3</v>
      </c>
      <c r="O93" s="264">
        <f>E91*N93</f>
        <v>0.32160000000000005</v>
      </c>
      <c r="P93" s="240">
        <v>0.89400000000000002</v>
      </c>
      <c r="Q93" s="415">
        <f t="shared" ref="Q93:Q94" si="6">N93*P93*$N$11</f>
        <v>4.1213510856000016E-3</v>
      </c>
      <c r="R93" s="1070"/>
      <c r="S93" s="1070"/>
      <c r="T93" s="1070"/>
      <c r="U93" s="1311"/>
      <c r="V93" s="276">
        <f t="shared" si="0"/>
        <v>0</v>
      </c>
      <c r="W93" s="277">
        <f t="shared" si="1"/>
        <v>0</v>
      </c>
      <c r="X93" s="422"/>
      <c r="Y93" s="424"/>
      <c r="Z93" s="425"/>
      <c r="AA93" s="425"/>
      <c r="AB93" s="425"/>
      <c r="AC93" s="425"/>
      <c r="AD93" s="425"/>
      <c r="AE93" s="425"/>
      <c r="AF93" s="425"/>
      <c r="AG93" s="425"/>
      <c r="AH93" s="425"/>
      <c r="AI93" s="425"/>
      <c r="AJ93" s="425"/>
      <c r="AK93" s="425"/>
      <c r="AL93" s="425"/>
    </row>
    <row r="94" spans="1:38" s="426" customFormat="1" ht="13.5" customHeight="1">
      <c r="A94" s="1060"/>
      <c r="B94" s="969"/>
      <c r="C94" s="1241"/>
      <c r="D94" s="973"/>
      <c r="E94" s="1320"/>
      <c r="F94" s="1070"/>
      <c r="G94" s="1070"/>
      <c r="H94" s="1070"/>
      <c r="I94" s="1070"/>
      <c r="J94" s="1070"/>
      <c r="K94" s="1070"/>
      <c r="L94" s="266" t="s">
        <v>209</v>
      </c>
      <c r="M94" s="257" t="s">
        <v>124</v>
      </c>
      <c r="N94" s="411">
        <v>4.0000000000000001E-3</v>
      </c>
      <c r="O94" s="259">
        <f>E91*N94</f>
        <v>0.32160000000000005</v>
      </c>
      <c r="P94" s="414">
        <v>1.194</v>
      </c>
      <c r="Q94" s="261">
        <f t="shared" si="6"/>
        <v>5.5043548056000011E-3</v>
      </c>
      <c r="R94" s="1070"/>
      <c r="S94" s="1070"/>
      <c r="T94" s="1070"/>
      <c r="U94" s="1311"/>
      <c r="V94" s="276">
        <f t="shared" si="0"/>
        <v>0</v>
      </c>
      <c r="W94" s="277">
        <f t="shared" si="1"/>
        <v>0</v>
      </c>
      <c r="X94" s="422"/>
      <c r="Y94" s="424"/>
      <c r="Z94" s="425"/>
      <c r="AA94" s="425"/>
      <c r="AB94" s="425"/>
      <c r="AC94" s="425"/>
      <c r="AD94" s="425"/>
      <c r="AE94" s="425"/>
      <c r="AF94" s="425"/>
      <c r="AG94" s="425"/>
      <c r="AH94" s="425"/>
      <c r="AI94" s="425"/>
      <c r="AJ94" s="425"/>
      <c r="AK94" s="425"/>
      <c r="AL94" s="425"/>
    </row>
    <row r="95" spans="1:38" s="366" customFormat="1" ht="12.75" customHeight="1">
      <c r="A95" s="1058">
        <f>+A91+1</f>
        <v>25</v>
      </c>
      <c r="B95" s="1136" t="s">
        <v>127</v>
      </c>
      <c r="C95" s="1316" t="s">
        <v>306</v>
      </c>
      <c r="D95" s="972" t="s">
        <v>195</v>
      </c>
      <c r="E95" s="990">
        <v>357.4</v>
      </c>
      <c r="F95" s="999">
        <f>4.1/100</f>
        <v>4.0999999999999995E-2</v>
      </c>
      <c r="G95" s="1000"/>
      <c r="H95" s="1001"/>
      <c r="I95" s="999">
        <f>0.4/100</f>
        <v>4.0000000000000001E-3</v>
      </c>
      <c r="J95" s="1000"/>
      <c r="K95" s="1001"/>
      <c r="L95" s="269"/>
      <c r="M95" s="178"/>
      <c r="N95" s="548"/>
      <c r="O95" s="548"/>
      <c r="P95" s="548"/>
      <c r="Q95" s="547"/>
      <c r="R95" s="552">
        <f>F96+I96</f>
        <v>0.10870824</v>
      </c>
      <c r="S95" s="979">
        <f>R95+R96</f>
        <v>0.19148698858400004</v>
      </c>
      <c r="T95" s="979">
        <f>E95*S95</f>
        <v>68.437449719921617</v>
      </c>
      <c r="U95" s="1144">
        <f>R96*E95</f>
        <v>29.585124743921607</v>
      </c>
      <c r="V95" s="276">
        <f t="shared" si="0"/>
        <v>0.2542826909251294</v>
      </c>
      <c r="W95" s="277">
        <f t="shared" si="1"/>
        <v>90.880633736641244</v>
      </c>
      <c r="X95" s="422"/>
      <c r="Y95" s="502"/>
    </row>
    <row r="96" spans="1:38" s="366" customFormat="1" ht="12.75" customHeight="1">
      <c r="A96" s="1059"/>
      <c r="B96" s="1136"/>
      <c r="C96" s="1316"/>
      <c r="D96" s="997"/>
      <c r="E96" s="998"/>
      <c r="F96" s="1017">
        <f>F95*J$13/1000</f>
        <v>9.5816999999999999E-2</v>
      </c>
      <c r="G96" s="1018"/>
      <c r="H96" s="1016"/>
      <c r="I96" s="1017">
        <f>I95*$Q$13/1000</f>
        <v>1.289124E-2</v>
      </c>
      <c r="J96" s="1018"/>
      <c r="K96" s="1016"/>
      <c r="L96" s="345" t="s">
        <v>128</v>
      </c>
      <c r="M96" s="253" t="s">
        <v>124</v>
      </c>
      <c r="N96" s="268">
        <v>0.03</v>
      </c>
      <c r="O96" s="343">
        <f>E95*N96</f>
        <v>10.722</v>
      </c>
      <c r="P96" s="344">
        <f>0.542*2</f>
        <v>1.0840000000000001</v>
      </c>
      <c r="Q96" s="236">
        <f>N96*P96*$N$11</f>
        <v>3.7479400812000012E-2</v>
      </c>
      <c r="R96" s="979">
        <f>SUM(Q96:Q97)</f>
        <v>8.2778748584000028E-2</v>
      </c>
      <c r="S96" s="1002"/>
      <c r="T96" s="1002"/>
      <c r="U96" s="1144"/>
      <c r="V96" s="276">
        <f t="shared" si="0"/>
        <v>0</v>
      </c>
      <c r="W96" s="277">
        <f t="shared" si="1"/>
        <v>0</v>
      </c>
      <c r="X96" s="422"/>
      <c r="Y96" s="502"/>
    </row>
    <row r="97" spans="1:39" s="366" customFormat="1" ht="12">
      <c r="A97" s="1060"/>
      <c r="B97" s="1136"/>
      <c r="C97" s="1316"/>
      <c r="D97" s="973"/>
      <c r="E97" s="991"/>
      <c r="F97" s="985"/>
      <c r="G97" s="986"/>
      <c r="H97" s="987"/>
      <c r="I97" s="985"/>
      <c r="J97" s="986"/>
      <c r="K97" s="987"/>
      <c r="L97" s="346" t="s">
        <v>129</v>
      </c>
      <c r="M97" s="257" t="s">
        <v>124</v>
      </c>
      <c r="N97" s="258">
        <f>17.2/100</f>
        <v>0.17199999999999999</v>
      </c>
      <c r="O97" s="259">
        <f>E95*N97</f>
        <v>61.472799999999992</v>
      </c>
      <c r="P97" s="358">
        <f>0.617/2.7</f>
        <v>0.22851851851851851</v>
      </c>
      <c r="Q97" s="347">
        <f>N97*P97*$N$11</f>
        <v>4.5299347772000009E-2</v>
      </c>
      <c r="R97" s="980"/>
      <c r="S97" s="980"/>
      <c r="T97" s="980"/>
      <c r="U97" s="1144"/>
      <c r="V97" s="276">
        <f t="shared" si="0"/>
        <v>0</v>
      </c>
      <c r="W97" s="277">
        <f t="shared" si="1"/>
        <v>0</v>
      </c>
      <c r="X97" s="422"/>
      <c r="Y97" s="502"/>
    </row>
    <row r="98" spans="1:39" s="366" customFormat="1" ht="12.75" customHeight="1">
      <c r="A98" s="1324">
        <f>+A95+1</f>
        <v>26</v>
      </c>
      <c r="B98" s="968" t="s">
        <v>147</v>
      </c>
      <c r="C98" s="1326" t="s">
        <v>307</v>
      </c>
      <c r="D98" s="972" t="s">
        <v>195</v>
      </c>
      <c r="E98" s="990">
        <f>+E95</f>
        <v>357.4</v>
      </c>
      <c r="F98" s="999">
        <f>21.4/100</f>
        <v>0.214</v>
      </c>
      <c r="G98" s="1000"/>
      <c r="H98" s="1001"/>
      <c r="I98" s="1039">
        <f>0.03/100</f>
        <v>2.9999999999999997E-4</v>
      </c>
      <c r="J98" s="1040"/>
      <c r="K98" s="1041"/>
      <c r="L98" s="269"/>
      <c r="M98" s="178"/>
      <c r="N98" s="548"/>
      <c r="O98" s="548"/>
      <c r="P98" s="548"/>
      <c r="Q98" s="547"/>
      <c r="R98" s="552">
        <f>F99+I99</f>
        <v>0.501084843</v>
      </c>
      <c r="S98" s="979">
        <f>R98+R99</f>
        <v>0.89437652587500016</v>
      </c>
      <c r="T98" s="979">
        <f>E98*S98</f>
        <v>319.65017034772501</v>
      </c>
      <c r="U98" s="1144">
        <f>R99*E98</f>
        <v>140.56244745952506</v>
      </c>
      <c r="V98" s="276">
        <f t="shared" si="0"/>
        <v>1.1876758383507549</v>
      </c>
      <c r="W98" s="277">
        <f t="shared" si="1"/>
        <v>424.47534462655977</v>
      </c>
      <c r="X98" s="422"/>
    </row>
    <row r="99" spans="1:39" s="366" customFormat="1" ht="16.5" customHeight="1">
      <c r="A99" s="1325"/>
      <c r="B99" s="969"/>
      <c r="C99" s="1327"/>
      <c r="D99" s="973"/>
      <c r="E99" s="991"/>
      <c r="F99" s="976">
        <f>F98*J$13/1000</f>
        <v>0.50011799999999995</v>
      </c>
      <c r="G99" s="977"/>
      <c r="H99" s="978"/>
      <c r="I99" s="1039">
        <f>I98*$Q$13/1000</f>
        <v>9.6684299999999989E-4</v>
      </c>
      <c r="J99" s="1040"/>
      <c r="K99" s="1041"/>
      <c r="L99" s="360" t="s">
        <v>130</v>
      </c>
      <c r="M99" s="246" t="s">
        <v>124</v>
      </c>
      <c r="N99" s="243">
        <f>27.3/100</f>
        <v>0.27300000000000002</v>
      </c>
      <c r="O99" s="343">
        <f>E98*N99</f>
        <v>97.5702</v>
      </c>
      <c r="P99" s="243">
        <v>1.25</v>
      </c>
      <c r="Q99" s="248">
        <f>N99*P99*$N$11</f>
        <v>0.39329168287500016</v>
      </c>
      <c r="R99" s="549">
        <f>SUM(Q99:Q99)</f>
        <v>0.39329168287500016</v>
      </c>
      <c r="S99" s="980"/>
      <c r="T99" s="980"/>
      <c r="U99" s="1144"/>
      <c r="V99" s="276">
        <f t="shared" si="0"/>
        <v>0</v>
      </c>
      <c r="W99" s="277">
        <f t="shared" si="1"/>
        <v>0</v>
      </c>
      <c r="X99" s="422"/>
    </row>
    <row r="100" spans="1:39" s="338" customFormat="1" ht="13.5" customHeight="1">
      <c r="A100" s="1058">
        <f>1+A98</f>
        <v>27</v>
      </c>
      <c r="B100" s="968" t="s">
        <v>237</v>
      </c>
      <c r="C100" s="1240" t="s">
        <v>308</v>
      </c>
      <c r="D100" s="1242" t="s">
        <v>194</v>
      </c>
      <c r="E100" s="974">
        <v>257</v>
      </c>
      <c r="F100" s="976">
        <v>0.31</v>
      </c>
      <c r="G100" s="977"/>
      <c r="H100" s="978"/>
      <c r="I100" s="976">
        <v>0.2</v>
      </c>
      <c r="J100" s="977"/>
      <c r="K100" s="978"/>
      <c r="L100" s="270"/>
      <c r="M100" s="178"/>
      <c r="N100" s="548"/>
      <c r="O100" s="548"/>
      <c r="P100" s="271"/>
      <c r="Q100" s="554"/>
      <c r="R100" s="552">
        <f>F101+I101</f>
        <v>1.369032</v>
      </c>
      <c r="S100" s="979">
        <f>R100+R101</f>
        <v>12.736170075300004</v>
      </c>
      <c r="T100" s="979">
        <f>E100*S100</f>
        <v>3273.1957093521009</v>
      </c>
      <c r="U100" s="992">
        <f>E100*R101</f>
        <v>2921.3544853521007</v>
      </c>
      <c r="V100" s="276">
        <f t="shared" si="0"/>
        <v>16.912833727116212</v>
      </c>
      <c r="W100" s="277">
        <f t="shared" si="1"/>
        <v>4346.5982678688661</v>
      </c>
      <c r="X100" s="422"/>
      <c r="Z100" s="245"/>
      <c r="AA100" s="245"/>
      <c r="AB100" s="245"/>
      <c r="AC100" s="245"/>
      <c r="AD100" s="245"/>
      <c r="AE100" s="245"/>
      <c r="AF100" s="245"/>
      <c r="AG100" s="245"/>
      <c r="AH100" s="245"/>
      <c r="AI100" s="245"/>
      <c r="AJ100" s="245"/>
      <c r="AK100" s="245"/>
      <c r="AL100" s="245"/>
    </row>
    <row r="101" spans="1:39" s="338" customFormat="1" ht="13.5" customHeight="1">
      <c r="A101" s="1060"/>
      <c r="B101" s="969"/>
      <c r="C101" s="1241"/>
      <c r="D101" s="1242"/>
      <c r="E101" s="975"/>
      <c r="F101" s="976">
        <f>F100*$J$13/1000</f>
        <v>0.72447000000000006</v>
      </c>
      <c r="G101" s="977"/>
      <c r="H101" s="978"/>
      <c r="I101" s="976">
        <f>I100*$Q$13/1000</f>
        <v>0.64456199999999997</v>
      </c>
      <c r="J101" s="977"/>
      <c r="K101" s="978"/>
      <c r="L101" s="251" t="s">
        <v>238</v>
      </c>
      <c r="M101" s="246" t="s">
        <v>116</v>
      </c>
      <c r="N101" s="247">
        <v>1</v>
      </c>
      <c r="O101" s="250">
        <f>E100*N101</f>
        <v>257</v>
      </c>
      <c r="P101" s="243">
        <v>9.8629999999999995</v>
      </c>
      <c r="Q101" s="248">
        <f>N101*P101*$N$11</f>
        <v>11.367138075300003</v>
      </c>
      <c r="R101" s="549">
        <f>SUM(Q101:Q101)</f>
        <v>11.367138075300003</v>
      </c>
      <c r="S101" s="980"/>
      <c r="T101" s="980"/>
      <c r="U101" s="993"/>
      <c r="V101" s="276">
        <f t="shared" si="0"/>
        <v>0</v>
      </c>
      <c r="W101" s="277">
        <f t="shared" si="1"/>
        <v>0</v>
      </c>
      <c r="X101" s="422"/>
      <c r="Z101" s="408"/>
      <c r="AA101" s="408"/>
      <c r="AB101" s="408"/>
      <c r="AC101" s="408"/>
      <c r="AD101" s="408"/>
      <c r="AE101" s="408"/>
      <c r="AF101" s="408"/>
      <c r="AG101" s="408"/>
      <c r="AH101" s="473"/>
      <c r="AI101" s="473"/>
      <c r="AJ101" s="473"/>
      <c r="AK101" s="473"/>
      <c r="AL101" s="473"/>
    </row>
    <row r="102" spans="1:39" s="338" customFormat="1" ht="13.5" customHeight="1">
      <c r="A102" s="1058">
        <f>1+A100</f>
        <v>28</v>
      </c>
      <c r="B102" s="968" t="s">
        <v>163</v>
      </c>
      <c r="C102" s="1244" t="s">
        <v>309</v>
      </c>
      <c r="D102" s="1242" t="s">
        <v>194</v>
      </c>
      <c r="E102" s="974">
        <v>459</v>
      </c>
      <c r="F102" s="976">
        <v>0.27</v>
      </c>
      <c r="G102" s="977"/>
      <c r="H102" s="978"/>
      <c r="I102" s="976">
        <v>0.17</v>
      </c>
      <c r="J102" s="977"/>
      <c r="K102" s="978"/>
      <c r="L102" s="270"/>
      <c r="M102" s="178"/>
      <c r="N102" s="548"/>
      <c r="O102" s="548"/>
      <c r="P102" s="271"/>
      <c r="Q102" s="554"/>
      <c r="R102" s="552">
        <f>F103+I103</f>
        <v>1.1788677000000001</v>
      </c>
      <c r="S102" s="979">
        <f>R102+R103</f>
        <v>7.6132925073000024</v>
      </c>
      <c r="T102" s="979">
        <f>E102*S102</f>
        <v>3494.5012608507013</v>
      </c>
      <c r="U102" s="992">
        <f>E102*R103</f>
        <v>2953.400986550701</v>
      </c>
      <c r="V102" s="276">
        <f t="shared" si="0"/>
        <v>10.109974154756378</v>
      </c>
      <c r="W102" s="277">
        <f t="shared" si="1"/>
        <v>4640.4781370331775</v>
      </c>
      <c r="X102" s="422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7"/>
      <c r="AM102" s="157"/>
    </row>
    <row r="103" spans="1:39" s="338" customFormat="1" ht="13.5" customHeight="1">
      <c r="A103" s="1060"/>
      <c r="B103" s="969"/>
      <c r="C103" s="1244"/>
      <c r="D103" s="1242"/>
      <c r="E103" s="975"/>
      <c r="F103" s="976">
        <f>F102*$J$13/1000</f>
        <v>0.63099000000000005</v>
      </c>
      <c r="G103" s="977"/>
      <c r="H103" s="978"/>
      <c r="I103" s="976">
        <f>I102*$Q$13/1000</f>
        <v>0.54787770000000002</v>
      </c>
      <c r="J103" s="977"/>
      <c r="K103" s="978"/>
      <c r="L103" s="251" t="s">
        <v>268</v>
      </c>
      <c r="M103" s="246" t="s">
        <v>116</v>
      </c>
      <c r="N103" s="247">
        <v>1</v>
      </c>
      <c r="O103" s="250">
        <f>E102*N103</f>
        <v>459</v>
      </c>
      <c r="P103" s="243">
        <v>5.5830000000000002</v>
      </c>
      <c r="Q103" s="248">
        <f>N103*P103*$N$11</f>
        <v>6.4344248073000019</v>
      </c>
      <c r="R103" s="549">
        <f>SUM(Q103:Q103)</f>
        <v>6.4344248073000019</v>
      </c>
      <c r="S103" s="980"/>
      <c r="T103" s="980"/>
      <c r="U103" s="993"/>
      <c r="V103" s="276">
        <f t="shared" si="0"/>
        <v>0</v>
      </c>
      <c r="W103" s="277">
        <f t="shared" si="1"/>
        <v>0</v>
      </c>
      <c r="X103" s="422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157"/>
      <c r="AM103" s="157"/>
    </row>
    <row r="104" spans="1:39" s="424" customFormat="1" ht="13.5" customHeight="1">
      <c r="A104" s="1324">
        <f>+A102+1</f>
        <v>29</v>
      </c>
      <c r="B104" s="968" t="s">
        <v>148</v>
      </c>
      <c r="C104" s="970" t="s">
        <v>198</v>
      </c>
      <c r="D104" s="972" t="s">
        <v>199</v>
      </c>
      <c r="E104" s="990">
        <f>2.7+16.8+100.8+0.9</f>
        <v>121.2</v>
      </c>
      <c r="F104" s="1053">
        <f>0.001*190</f>
        <v>0.19</v>
      </c>
      <c r="G104" s="1054"/>
      <c r="H104" s="1055"/>
      <c r="I104" s="1053">
        <f>0.001*162</f>
        <v>0.16200000000000001</v>
      </c>
      <c r="J104" s="1054"/>
      <c r="K104" s="1055"/>
      <c r="L104" s="339"/>
      <c r="M104" s="178"/>
      <c r="N104" s="548"/>
      <c r="O104" s="548"/>
      <c r="P104" s="548"/>
      <c r="Q104" s="547"/>
      <c r="R104" s="552">
        <f>F105+I105</f>
        <v>0.96612522000000012</v>
      </c>
      <c r="S104" s="979">
        <f>R104+R105</f>
        <v>2.3491289400000004</v>
      </c>
      <c r="T104" s="979">
        <f>E104*S104</f>
        <v>284.71442752800004</v>
      </c>
      <c r="U104" s="1048">
        <f>R105*E104</f>
        <v>167.62005086400004</v>
      </c>
      <c r="V104" s="276">
        <f t="shared" si="0"/>
        <v>3.1194956514304324</v>
      </c>
      <c r="W104" s="277">
        <f t="shared" si="1"/>
        <v>378.08287295336839</v>
      </c>
      <c r="X104" s="422"/>
      <c r="Y104" s="503"/>
    </row>
    <row r="105" spans="1:39" s="424" customFormat="1" ht="13.5" customHeight="1">
      <c r="A105" s="1325"/>
      <c r="B105" s="969"/>
      <c r="C105" s="971"/>
      <c r="D105" s="973"/>
      <c r="E105" s="991"/>
      <c r="F105" s="976">
        <f>F104*J$13/1000</f>
        <v>0.44403000000000004</v>
      </c>
      <c r="G105" s="977"/>
      <c r="H105" s="978"/>
      <c r="I105" s="976">
        <f>I104*$Q$13/1000</f>
        <v>0.52209522000000008</v>
      </c>
      <c r="J105" s="977"/>
      <c r="K105" s="978"/>
      <c r="L105" s="340" t="s">
        <v>149</v>
      </c>
      <c r="M105" s="246" t="s">
        <v>124</v>
      </c>
      <c r="N105" s="341">
        <v>1</v>
      </c>
      <c r="O105" s="250">
        <f>E104*N105</f>
        <v>121.2</v>
      </c>
      <c r="P105" s="243">
        <v>1.2</v>
      </c>
      <c r="Q105" s="248">
        <f>N105*P105*$N$11</f>
        <v>1.3830037200000003</v>
      </c>
      <c r="R105" s="552">
        <f>SUM(Q105:Q105)</f>
        <v>1.3830037200000003</v>
      </c>
      <c r="S105" s="980"/>
      <c r="T105" s="980"/>
      <c r="U105" s="1049"/>
      <c r="V105" s="276">
        <f t="shared" si="0"/>
        <v>0</v>
      </c>
      <c r="W105" s="277">
        <f t="shared" si="1"/>
        <v>0</v>
      </c>
      <c r="X105" s="422"/>
      <c r="Y105" s="503"/>
    </row>
    <row r="106" spans="1:39" s="506" customFormat="1" ht="13.5" customHeight="1">
      <c r="A106" s="1339">
        <f>+A104+1</f>
        <v>30</v>
      </c>
      <c r="B106" s="1340" t="s">
        <v>263</v>
      </c>
      <c r="C106" s="1341" t="s">
        <v>310</v>
      </c>
      <c r="D106" s="1242" t="s">
        <v>197</v>
      </c>
      <c r="E106" s="1342">
        <v>1</v>
      </c>
      <c r="F106" s="1094">
        <f>0.6*0.31*11</f>
        <v>2.0459999999999998</v>
      </c>
      <c r="G106" s="1094"/>
      <c r="H106" s="1094"/>
      <c r="I106" s="1094">
        <f>0.6*0.2*11</f>
        <v>1.3199999999999998</v>
      </c>
      <c r="J106" s="1094"/>
      <c r="K106" s="1094"/>
      <c r="L106" s="269"/>
      <c r="M106" s="178"/>
      <c r="N106" s="548"/>
      <c r="O106" s="548"/>
      <c r="P106" s="548"/>
      <c r="Q106" s="547"/>
      <c r="R106" s="551">
        <f>F107+I107</f>
        <v>9.0356111999999982</v>
      </c>
      <c r="S106" s="1070">
        <f>R106+R107</f>
        <v>10.897934689673136</v>
      </c>
      <c r="T106" s="1070">
        <f>E106*S106</f>
        <v>10.897934689673136</v>
      </c>
      <c r="U106" s="1070">
        <f>R107*E106</f>
        <v>1.8623234896731367</v>
      </c>
      <c r="V106" s="276">
        <f t="shared" si="0"/>
        <v>14.471772619687789</v>
      </c>
      <c r="W106" s="277">
        <f t="shared" si="1"/>
        <v>14.471772619687789</v>
      </c>
      <c r="X106" s="422"/>
      <c r="Y106" s="504"/>
      <c r="Z106" s="505"/>
      <c r="AA106" s="505"/>
      <c r="AB106" s="505"/>
      <c r="AC106" s="505"/>
      <c r="AD106" s="505"/>
      <c r="AE106" s="505"/>
      <c r="AF106" s="505"/>
      <c r="AG106" s="505"/>
      <c r="AH106" s="505"/>
      <c r="AI106" s="505"/>
      <c r="AJ106" s="505"/>
      <c r="AK106" s="505"/>
      <c r="AL106" s="505"/>
    </row>
    <row r="107" spans="1:39" s="506" customFormat="1" ht="13.5" customHeight="1">
      <c r="A107" s="1339"/>
      <c r="B107" s="1340"/>
      <c r="C107" s="1341"/>
      <c r="D107" s="1242"/>
      <c r="E107" s="1342"/>
      <c r="F107" s="1070">
        <f>F106*J$13/1000</f>
        <v>4.7815019999999997</v>
      </c>
      <c r="G107" s="1070"/>
      <c r="H107" s="1070"/>
      <c r="I107" s="1070">
        <f>I106*$Q$13/1000</f>
        <v>4.2541091999999994</v>
      </c>
      <c r="J107" s="1070"/>
      <c r="K107" s="1070"/>
      <c r="L107" s="345" t="s">
        <v>239</v>
      </c>
      <c r="M107" s="253" t="s">
        <v>184</v>
      </c>
      <c r="N107" s="268">
        <f>0.49*0.138</f>
        <v>6.762E-2</v>
      </c>
      <c r="O107" s="343">
        <f>E106*N107</f>
        <v>6.762E-2</v>
      </c>
      <c r="P107" s="239">
        <v>0.45800000000000002</v>
      </c>
      <c r="Q107" s="236">
        <f>N107*P107*$N$11</f>
        <v>3.5692974906876014E-2</v>
      </c>
      <c r="R107" s="1070">
        <f>SUM(Q107:Q108)</f>
        <v>1.8623234896731367</v>
      </c>
      <c r="S107" s="1070"/>
      <c r="T107" s="1070"/>
      <c r="U107" s="1070"/>
      <c r="V107" s="276">
        <f t="shared" si="0"/>
        <v>0</v>
      </c>
      <c r="W107" s="277">
        <f t="shared" si="1"/>
        <v>0</v>
      </c>
      <c r="X107" s="422"/>
      <c r="Y107" s="504"/>
      <c r="Z107" s="505"/>
      <c r="AA107" s="505"/>
      <c r="AB107" s="505"/>
      <c r="AC107" s="505"/>
      <c r="AD107" s="505"/>
      <c r="AE107" s="505"/>
      <c r="AF107" s="505"/>
      <c r="AG107" s="505"/>
      <c r="AH107" s="505"/>
      <c r="AI107" s="505"/>
      <c r="AJ107" s="505"/>
      <c r="AK107" s="505"/>
      <c r="AL107" s="505"/>
    </row>
    <row r="108" spans="1:39" s="506" customFormat="1" ht="13.5" customHeight="1">
      <c r="A108" s="1339"/>
      <c r="B108" s="1340"/>
      <c r="C108" s="1341"/>
      <c r="D108" s="1242"/>
      <c r="E108" s="1342"/>
      <c r="F108" s="1070"/>
      <c r="G108" s="1070"/>
      <c r="H108" s="1070"/>
      <c r="I108" s="1070"/>
      <c r="J108" s="1070"/>
      <c r="K108" s="1070"/>
      <c r="L108" s="346" t="s">
        <v>264</v>
      </c>
      <c r="M108" s="257" t="s">
        <v>265</v>
      </c>
      <c r="N108" s="258">
        <f>0.49*17.39</f>
        <v>8.5211000000000006</v>
      </c>
      <c r="O108" s="259">
        <f>E106*N108</f>
        <v>8.5211000000000006</v>
      </c>
      <c r="P108" s="358">
        <v>0.186</v>
      </c>
      <c r="Q108" s="347">
        <f>N108*P108*$N$11</f>
        <v>1.8266305147662607</v>
      </c>
      <c r="R108" s="1070"/>
      <c r="S108" s="1070"/>
      <c r="T108" s="1070"/>
      <c r="U108" s="1070"/>
      <c r="V108" s="276">
        <f t="shared" si="0"/>
        <v>0</v>
      </c>
      <c r="W108" s="277">
        <f t="shared" si="1"/>
        <v>0</v>
      </c>
      <c r="X108" s="422"/>
      <c r="Y108" s="504"/>
      <c r="Z108" s="505"/>
      <c r="AA108" s="505"/>
      <c r="AB108" s="505"/>
      <c r="AC108" s="505"/>
      <c r="AD108" s="505"/>
      <c r="AE108" s="505"/>
      <c r="AF108" s="505"/>
      <c r="AG108" s="505"/>
      <c r="AH108" s="505"/>
      <c r="AI108" s="505"/>
      <c r="AJ108" s="505"/>
      <c r="AK108" s="505"/>
      <c r="AL108" s="505"/>
    </row>
    <row r="109" spans="1:39" s="156" customFormat="1" ht="12.75" customHeight="1">
      <c r="A109" s="1058">
        <f>+A106+1</f>
        <v>31</v>
      </c>
      <c r="B109" s="968" t="s">
        <v>125</v>
      </c>
      <c r="C109" s="970" t="s">
        <v>196</v>
      </c>
      <c r="D109" s="972" t="s">
        <v>194</v>
      </c>
      <c r="E109" s="990">
        <v>739</v>
      </c>
      <c r="F109" s="999">
        <f>0.001*5</f>
        <v>5.0000000000000001E-3</v>
      </c>
      <c r="G109" s="1000"/>
      <c r="H109" s="1001"/>
      <c r="I109" s="976">
        <f>0.001*20</f>
        <v>0.02</v>
      </c>
      <c r="J109" s="977"/>
      <c r="K109" s="978"/>
      <c r="L109" s="339"/>
      <c r="M109" s="178"/>
      <c r="N109" s="548"/>
      <c r="O109" s="548"/>
      <c r="P109" s="548"/>
      <c r="Q109" s="547"/>
      <c r="R109" s="552">
        <f>F110+I110</f>
        <v>7.6141199999999992E-2</v>
      </c>
      <c r="S109" s="979">
        <f>R109+R110</f>
        <v>0.1068623226336</v>
      </c>
      <c r="T109" s="979">
        <f>E109*S109</f>
        <v>78.971256426230397</v>
      </c>
      <c r="U109" s="1048">
        <f>R110*E109</f>
        <v>22.702909626230408</v>
      </c>
      <c r="V109" s="276">
        <f t="shared" si="0"/>
        <v>0.14190645097466256</v>
      </c>
      <c r="W109" s="277">
        <f t="shared" si="1"/>
        <v>104.86886727027563</v>
      </c>
      <c r="X109" s="422"/>
    </row>
    <row r="110" spans="1:39" s="156" customFormat="1" ht="12.75" customHeight="1">
      <c r="A110" s="1060"/>
      <c r="B110" s="969"/>
      <c r="C110" s="971"/>
      <c r="D110" s="973"/>
      <c r="E110" s="991"/>
      <c r="F110" s="999">
        <f>F109*J$13/1000</f>
        <v>1.1685000000000001E-2</v>
      </c>
      <c r="G110" s="1000"/>
      <c r="H110" s="1001"/>
      <c r="I110" s="999">
        <f>I109*$Q$13/1000</f>
        <v>6.4456199999999991E-2</v>
      </c>
      <c r="J110" s="1000"/>
      <c r="K110" s="1001"/>
      <c r="L110" s="340" t="s">
        <v>83</v>
      </c>
      <c r="M110" s="246" t="s">
        <v>126</v>
      </c>
      <c r="N110" s="247">
        <v>1E-3</v>
      </c>
      <c r="O110" s="250">
        <f>E109*N110</f>
        <v>0.73899999999999999</v>
      </c>
      <c r="P110" s="243">
        <v>26.655999999999999</v>
      </c>
      <c r="Q110" s="248">
        <f>N110*P110*$N$11</f>
        <v>3.0721122633600009E-2</v>
      </c>
      <c r="R110" s="549">
        <f>Q110</f>
        <v>3.0721122633600009E-2</v>
      </c>
      <c r="S110" s="980"/>
      <c r="T110" s="980"/>
      <c r="U110" s="1049"/>
      <c r="V110" s="276">
        <f t="shared" si="0"/>
        <v>0</v>
      </c>
      <c r="W110" s="277">
        <f t="shared" si="1"/>
        <v>0</v>
      </c>
      <c r="X110" s="422"/>
    </row>
    <row r="111" spans="1:39" s="431" customFormat="1" ht="15" customHeight="1">
      <c r="A111" s="507"/>
      <c r="C111" s="560" t="s">
        <v>311</v>
      </c>
      <c r="D111" s="427"/>
      <c r="E111" s="428">
        <v>2</v>
      </c>
      <c r="F111" s="1328" t="s">
        <v>266</v>
      </c>
      <c r="G111" s="1328"/>
      <c r="H111" s="1328"/>
      <c r="I111" s="1328"/>
      <c r="J111" s="1328"/>
      <c r="K111" s="1328"/>
      <c r="L111" s="1328"/>
      <c r="M111" s="429"/>
      <c r="N111" s="429"/>
      <c r="O111" s="429"/>
      <c r="P111" s="428"/>
      <c r="Q111" s="428"/>
      <c r="R111" s="428"/>
      <c r="S111" s="428"/>
      <c r="T111" s="428"/>
      <c r="U111" s="430">
        <f>+E111</f>
        <v>2</v>
      </c>
      <c r="V111" s="276">
        <f t="shared" si="0"/>
        <v>0</v>
      </c>
      <c r="W111" s="277">
        <f t="shared" si="1"/>
        <v>0</v>
      </c>
      <c r="X111" s="422"/>
    </row>
    <row r="112" spans="1:39" s="436" customFormat="1" ht="12.75">
      <c r="A112" s="1329">
        <v>1</v>
      </c>
      <c r="B112" s="1331" t="s">
        <v>211</v>
      </c>
      <c r="C112" s="1279" t="s">
        <v>200</v>
      </c>
      <c r="D112" s="1333" t="s">
        <v>201</v>
      </c>
      <c r="E112" s="1226">
        <f>2.5*E111</f>
        <v>5</v>
      </c>
      <c r="F112" s="1335">
        <f>0.01*194</f>
        <v>1.94</v>
      </c>
      <c r="G112" s="1335"/>
      <c r="H112" s="1335"/>
      <c r="I112" s="1336">
        <v>0</v>
      </c>
      <c r="J112" s="1336"/>
      <c r="K112" s="1336"/>
      <c r="L112" s="432"/>
      <c r="M112" s="433"/>
      <c r="N112" s="433"/>
      <c r="O112" s="433"/>
      <c r="P112" s="434"/>
      <c r="Q112" s="435"/>
      <c r="R112" s="1337">
        <f>F113+I113</f>
        <v>4.5337800000000001</v>
      </c>
      <c r="S112" s="1337">
        <f>R112+R113</f>
        <v>4.5337800000000001</v>
      </c>
      <c r="T112" s="1337">
        <f>E112*S112</f>
        <v>22.668900000000001</v>
      </c>
      <c r="U112" s="1343"/>
      <c r="V112" s="276">
        <f t="shared" si="0"/>
        <v>6.0205750113240972</v>
      </c>
      <c r="W112" s="277">
        <f t="shared" si="1"/>
        <v>30.102875056620487</v>
      </c>
      <c r="X112" s="422"/>
    </row>
    <row r="113" spans="1:50" s="436" customFormat="1" ht="12.75">
      <c r="A113" s="1330"/>
      <c r="B113" s="1332"/>
      <c r="C113" s="1279"/>
      <c r="D113" s="1334"/>
      <c r="E113" s="1227"/>
      <c r="F113" s="1335">
        <f>F112*$J$13/1000</f>
        <v>4.5337800000000001</v>
      </c>
      <c r="G113" s="1335"/>
      <c r="H113" s="1335"/>
      <c r="I113" s="1336">
        <f>I112*$Q$13/1000</f>
        <v>0</v>
      </c>
      <c r="J113" s="1336"/>
      <c r="K113" s="1336"/>
      <c r="L113" s="437"/>
      <c r="M113" s="438"/>
      <c r="N113" s="438"/>
      <c r="O113" s="438" t="s">
        <v>20</v>
      </c>
      <c r="P113" s="439"/>
      <c r="Q113" s="440"/>
      <c r="R113" s="1338"/>
      <c r="S113" s="1338"/>
      <c r="T113" s="1338"/>
      <c r="U113" s="1344"/>
      <c r="V113" s="276">
        <f t="shared" si="0"/>
        <v>0</v>
      </c>
      <c r="W113" s="277">
        <f t="shared" si="1"/>
        <v>0</v>
      </c>
      <c r="X113" s="422"/>
    </row>
    <row r="114" spans="1:50" s="436" customFormat="1" ht="12.75">
      <c r="A114" s="1329">
        <f>+A112+1</f>
        <v>2</v>
      </c>
      <c r="B114" s="1331" t="s">
        <v>212</v>
      </c>
      <c r="C114" s="1296" t="s">
        <v>222</v>
      </c>
      <c r="D114" s="1333" t="s">
        <v>201</v>
      </c>
      <c r="E114" s="1226">
        <f>+E112</f>
        <v>5</v>
      </c>
      <c r="F114" s="1335">
        <f>0.01*66.4</f>
        <v>0.66400000000000003</v>
      </c>
      <c r="G114" s="1335"/>
      <c r="H114" s="1335"/>
      <c r="I114" s="1345"/>
      <c r="J114" s="1345"/>
      <c r="K114" s="1345"/>
      <c r="L114" s="441"/>
      <c r="M114" s="442"/>
      <c r="N114" s="443"/>
      <c r="O114" s="443"/>
      <c r="P114" s="444"/>
      <c r="Q114" s="445"/>
      <c r="R114" s="1337">
        <f>F115+I115</f>
        <v>1.551768</v>
      </c>
      <c r="S114" s="1337">
        <f>R114+R115</f>
        <v>1.551768</v>
      </c>
      <c r="T114" s="1337">
        <f>E114*S114</f>
        <v>7.7588400000000002</v>
      </c>
      <c r="U114" s="446"/>
      <c r="V114" s="276">
        <f t="shared" si="0"/>
        <v>2.0606504162470105</v>
      </c>
      <c r="W114" s="277">
        <f t="shared" si="1"/>
        <v>10.303252081235053</v>
      </c>
      <c r="X114" s="422"/>
    </row>
    <row r="115" spans="1:50" s="436" customFormat="1" ht="10.5" customHeight="1">
      <c r="A115" s="1330"/>
      <c r="B115" s="1332"/>
      <c r="C115" s="1297"/>
      <c r="D115" s="1334"/>
      <c r="E115" s="1227"/>
      <c r="F115" s="1335">
        <f>F114*$J$13/1000</f>
        <v>1.551768</v>
      </c>
      <c r="G115" s="1335"/>
      <c r="H115" s="1335"/>
      <c r="I115" s="1346"/>
      <c r="J115" s="1346"/>
      <c r="K115" s="1346"/>
      <c r="L115" s="437"/>
      <c r="M115" s="447"/>
      <c r="N115" s="448"/>
      <c r="O115" s="448"/>
      <c r="P115" s="439"/>
      <c r="Q115" s="449"/>
      <c r="R115" s="1338"/>
      <c r="S115" s="1338"/>
      <c r="T115" s="1338"/>
      <c r="U115" s="450"/>
      <c r="V115" s="276">
        <f t="shared" si="0"/>
        <v>0</v>
      </c>
      <c r="W115" s="277">
        <f t="shared" si="1"/>
        <v>0</v>
      </c>
      <c r="X115" s="422"/>
    </row>
    <row r="116" spans="1:50" s="157" customFormat="1" ht="12">
      <c r="A116" s="1058">
        <f>+A114+1</f>
        <v>3</v>
      </c>
      <c r="B116" s="968" t="s">
        <v>213</v>
      </c>
      <c r="C116" s="988" t="s">
        <v>223</v>
      </c>
      <c r="D116" s="972" t="s">
        <v>199</v>
      </c>
      <c r="E116" s="990">
        <f>+((0.4*2.51)+(1.5*3.77)+(5*0.4)+(7*0.22)+(1.5*0.04))*E111</f>
        <v>20.518000000000004</v>
      </c>
      <c r="F116" s="1308">
        <f>36.1/1000</f>
        <v>3.61E-2</v>
      </c>
      <c r="G116" s="1309"/>
      <c r="H116" s="1310"/>
      <c r="I116" s="999">
        <v>5.7000000000000002E-2</v>
      </c>
      <c r="J116" s="1000"/>
      <c r="K116" s="1001"/>
      <c r="L116" s="420"/>
      <c r="M116" s="178"/>
      <c r="N116" s="548"/>
      <c r="O116" s="548"/>
      <c r="P116" s="548"/>
      <c r="Q116" s="547"/>
      <c r="R116" s="552">
        <f>F117+I117</f>
        <v>0.26806587000000004</v>
      </c>
      <c r="S116" s="979">
        <f>R116+R117+R118+R119</f>
        <v>0.91280676072246025</v>
      </c>
      <c r="T116" s="979">
        <f>E116*S116</f>
        <v>18.728969116503443</v>
      </c>
      <c r="U116" s="1048">
        <f>E116*Q117</f>
        <v>13.005882233190007</v>
      </c>
      <c r="V116" s="276">
        <f t="shared" si="0"/>
        <v>1.2121500323732819</v>
      </c>
      <c r="W116" s="277">
        <f t="shared" si="1"/>
        <v>24.870894364235003</v>
      </c>
      <c r="X116" s="422"/>
      <c r="Y116" s="242"/>
    </row>
    <row r="117" spans="1:50" s="157" customFormat="1" ht="13.5" customHeight="1">
      <c r="A117" s="1059"/>
      <c r="B117" s="995"/>
      <c r="C117" s="1020"/>
      <c r="D117" s="997"/>
      <c r="E117" s="998"/>
      <c r="F117" s="1017">
        <f>F116*$J$13/1000</f>
        <v>8.4365700000000002E-2</v>
      </c>
      <c r="G117" s="1018"/>
      <c r="H117" s="1016"/>
      <c r="I117" s="1017">
        <f>I116*$Q$13/1000</f>
        <v>0.18370017000000002</v>
      </c>
      <c r="J117" s="1018"/>
      <c r="K117" s="1016"/>
      <c r="L117" s="252" t="s">
        <v>208</v>
      </c>
      <c r="M117" s="253" t="s">
        <v>124</v>
      </c>
      <c r="N117" s="267">
        <v>1</v>
      </c>
      <c r="O117" s="343">
        <f>E116*N117</f>
        <v>20.518000000000004</v>
      </c>
      <c r="P117" s="243">
        <v>0.55000000000000004</v>
      </c>
      <c r="Q117" s="248">
        <f>N117*P117*$N$11</f>
        <v>0.63387670500000026</v>
      </c>
      <c r="R117" s="979">
        <f>SUM(Q117:Q119)</f>
        <v>0.64474089072246021</v>
      </c>
      <c r="S117" s="1002"/>
      <c r="T117" s="1002"/>
      <c r="U117" s="1251"/>
      <c r="V117" s="276">
        <f t="shared" si="0"/>
        <v>0</v>
      </c>
      <c r="W117" s="277">
        <f t="shared" si="1"/>
        <v>0</v>
      </c>
      <c r="X117" s="422"/>
      <c r="Y117" s="242"/>
    </row>
    <row r="118" spans="1:50" s="157" customFormat="1" ht="12">
      <c r="A118" s="1059"/>
      <c r="B118" s="995"/>
      <c r="C118" s="1020"/>
      <c r="D118" s="997"/>
      <c r="E118" s="998"/>
      <c r="F118" s="1021"/>
      <c r="G118" s="1022"/>
      <c r="H118" s="1023"/>
      <c r="I118" s="1021"/>
      <c r="J118" s="1022"/>
      <c r="K118" s="1023"/>
      <c r="L118" s="340" t="s">
        <v>190</v>
      </c>
      <c r="M118" s="246" t="s">
        <v>124</v>
      </c>
      <c r="N118" s="243">
        <v>4.0000000000000001E-3</v>
      </c>
      <c r="O118" s="250">
        <f>E116*N118</f>
        <v>8.207200000000002E-2</v>
      </c>
      <c r="P118" s="451">
        <v>0.89400000000000002</v>
      </c>
      <c r="Q118" s="452">
        <f>N118*P118*$N$11</f>
        <v>4.1213510856000016E-3</v>
      </c>
      <c r="R118" s="1002"/>
      <c r="S118" s="1002"/>
      <c r="T118" s="1002"/>
      <c r="U118" s="1251"/>
      <c r="V118" s="276">
        <f t="shared" si="0"/>
        <v>0</v>
      </c>
      <c r="W118" s="277">
        <f t="shared" si="1"/>
        <v>0</v>
      </c>
      <c r="X118" s="422"/>
      <c r="Y118" s="242"/>
    </row>
    <row r="119" spans="1:50" s="157" customFormat="1" ht="12">
      <c r="A119" s="1060"/>
      <c r="B119" s="969"/>
      <c r="C119" s="989"/>
      <c r="D119" s="973"/>
      <c r="E119" s="991"/>
      <c r="F119" s="985"/>
      <c r="G119" s="986"/>
      <c r="H119" s="987"/>
      <c r="I119" s="985"/>
      <c r="J119" s="986"/>
      <c r="K119" s="987"/>
      <c r="L119" s="453" t="s">
        <v>214</v>
      </c>
      <c r="M119" s="246" t="s">
        <v>124</v>
      </c>
      <c r="N119" s="454">
        <v>4.8999999999999998E-3</v>
      </c>
      <c r="O119" s="264">
        <f>E116*N119</f>
        <v>0.10053820000000002</v>
      </c>
      <c r="P119" s="455">
        <v>1.194</v>
      </c>
      <c r="Q119" s="456">
        <f>N119*P119*$N$11</f>
        <v>6.742834636860001E-3</v>
      </c>
      <c r="R119" s="980"/>
      <c r="S119" s="980"/>
      <c r="T119" s="980"/>
      <c r="U119" s="1049"/>
      <c r="V119" s="276">
        <f t="shared" si="0"/>
        <v>0</v>
      </c>
      <c r="W119" s="277">
        <f t="shared" si="1"/>
        <v>0</v>
      </c>
      <c r="X119" s="422"/>
      <c r="Y119" s="242"/>
    </row>
    <row r="120" spans="1:50" s="401" customFormat="1" ht="12">
      <c r="A120" s="1058">
        <f>+A116+1</f>
        <v>4</v>
      </c>
      <c r="B120" s="968" t="s">
        <v>215</v>
      </c>
      <c r="C120" s="1347" t="s">
        <v>224</v>
      </c>
      <c r="D120" s="972" t="s">
        <v>197</v>
      </c>
      <c r="E120" s="974">
        <v>7</v>
      </c>
      <c r="F120" s="976">
        <v>0.23</v>
      </c>
      <c r="G120" s="977"/>
      <c r="H120" s="978"/>
      <c r="I120" s="976">
        <v>0.01</v>
      </c>
      <c r="J120" s="977"/>
      <c r="K120" s="978"/>
      <c r="L120" s="420"/>
      <c r="M120" s="178"/>
      <c r="N120" s="548"/>
      <c r="O120" s="548"/>
      <c r="P120" s="561"/>
      <c r="Q120" s="554"/>
      <c r="R120" s="552">
        <f>F121+I121</f>
        <v>0.56973810000000003</v>
      </c>
      <c r="S120" s="979">
        <f>R120+R121</f>
        <v>5.756002050000002</v>
      </c>
      <c r="T120" s="979">
        <f>E120*S120</f>
        <v>40.292014350000017</v>
      </c>
      <c r="U120" s="1048">
        <f>E120*Q121</f>
        <v>36.303847650000009</v>
      </c>
      <c r="V120" s="276">
        <f t="shared" si="0"/>
        <v>7.6436091092554745</v>
      </c>
      <c r="W120" s="277">
        <f t="shared" si="1"/>
        <v>53.505263764788324</v>
      </c>
      <c r="X120" s="422"/>
      <c r="Y120" s="457"/>
    </row>
    <row r="121" spans="1:50" s="401" customFormat="1" ht="12">
      <c r="A121" s="1060"/>
      <c r="B121" s="969"/>
      <c r="C121" s="1347"/>
      <c r="D121" s="973"/>
      <c r="E121" s="975"/>
      <c r="F121" s="985">
        <f>F120*$J$13/1000</f>
        <v>0.53751000000000004</v>
      </c>
      <c r="G121" s="986"/>
      <c r="H121" s="987"/>
      <c r="I121" s="985">
        <f>I120*$Q$13/1000</f>
        <v>3.2228099999999996E-2</v>
      </c>
      <c r="J121" s="986"/>
      <c r="K121" s="987"/>
      <c r="L121" s="340" t="s">
        <v>216</v>
      </c>
      <c r="M121" s="246" t="s">
        <v>164</v>
      </c>
      <c r="N121" s="247">
        <v>1</v>
      </c>
      <c r="O121" s="250">
        <f>E120*N121</f>
        <v>7</v>
      </c>
      <c r="P121" s="341">
        <v>4.5</v>
      </c>
      <c r="Q121" s="458">
        <f>N121*P121*$N$11</f>
        <v>5.1862639500000016</v>
      </c>
      <c r="R121" s="549">
        <f>SUM(Q121:Q121)</f>
        <v>5.1862639500000016</v>
      </c>
      <c r="S121" s="980"/>
      <c r="T121" s="980"/>
      <c r="U121" s="1049"/>
      <c r="V121" s="276">
        <f t="shared" si="0"/>
        <v>0</v>
      </c>
      <c r="W121" s="277">
        <f t="shared" si="1"/>
        <v>0</v>
      </c>
      <c r="X121" s="422"/>
      <c r="Y121" s="457"/>
    </row>
    <row r="122" spans="1:50" s="157" customFormat="1" ht="12">
      <c r="A122" s="1058">
        <f>+A120+1</f>
        <v>5</v>
      </c>
      <c r="B122" s="968" t="s">
        <v>217</v>
      </c>
      <c r="C122" s="970" t="s">
        <v>225</v>
      </c>
      <c r="D122" s="972" t="s">
        <v>197</v>
      </c>
      <c r="E122" s="974">
        <f>3*E111</f>
        <v>6</v>
      </c>
      <c r="F122" s="1351">
        <v>0.46</v>
      </c>
      <c r="G122" s="1352"/>
      <c r="H122" s="1353"/>
      <c r="I122" s="976">
        <v>0.08</v>
      </c>
      <c r="J122" s="977"/>
      <c r="K122" s="978"/>
      <c r="L122" s="420"/>
      <c r="M122" s="178"/>
      <c r="N122" s="548"/>
      <c r="O122" s="548"/>
      <c r="P122" s="548"/>
      <c r="Q122" s="554"/>
      <c r="R122" s="552">
        <f>F123+I123</f>
        <v>1.3328448000000002</v>
      </c>
      <c r="S122" s="979">
        <f>R122+R123</f>
        <v>5.8172343621000016</v>
      </c>
      <c r="T122" s="979">
        <f>E122*S122</f>
        <v>34.903406172600008</v>
      </c>
      <c r="U122" s="1048">
        <f>R123*E122</f>
        <v>26.906337372600007</v>
      </c>
      <c r="V122" s="276">
        <f t="shared" si="0"/>
        <v>7.7249217728860113</v>
      </c>
      <c r="W122" s="277">
        <f t="shared" si="1"/>
        <v>46.349530637316064</v>
      </c>
      <c r="X122" s="422"/>
    </row>
    <row r="123" spans="1:50" s="157" customFormat="1" ht="16.5" customHeight="1">
      <c r="A123" s="1060"/>
      <c r="B123" s="969"/>
      <c r="C123" s="971"/>
      <c r="D123" s="973"/>
      <c r="E123" s="975"/>
      <c r="F123" s="1348">
        <f>F122*$J$13/1000</f>
        <v>1.0750200000000001</v>
      </c>
      <c r="G123" s="1349"/>
      <c r="H123" s="1350"/>
      <c r="I123" s="976">
        <f>I122*$Q$13/1000</f>
        <v>0.25782479999999997</v>
      </c>
      <c r="J123" s="977"/>
      <c r="K123" s="978"/>
      <c r="L123" s="340" t="s">
        <v>218</v>
      </c>
      <c r="M123" s="246" t="s">
        <v>116</v>
      </c>
      <c r="N123" s="247">
        <v>1.5</v>
      </c>
      <c r="O123" s="250">
        <f>E122*N123</f>
        <v>9</v>
      </c>
      <c r="P123" s="243">
        <v>2.5939999999999999</v>
      </c>
      <c r="Q123" s="248">
        <f>N123*P123*$N$11</f>
        <v>4.4843895621000014</v>
      </c>
      <c r="R123" s="552">
        <f>SUM(Q123:Q123)</f>
        <v>4.4843895621000014</v>
      </c>
      <c r="S123" s="980"/>
      <c r="T123" s="980"/>
      <c r="U123" s="1049"/>
      <c r="V123" s="276">
        <f t="shared" si="0"/>
        <v>0</v>
      </c>
      <c r="W123" s="277">
        <f t="shared" si="1"/>
        <v>0</v>
      </c>
      <c r="X123" s="422"/>
    </row>
    <row r="124" spans="1:50" s="157" customFormat="1" ht="12.75" customHeight="1">
      <c r="A124" s="1058">
        <f>+A122+1</f>
        <v>6</v>
      </c>
      <c r="B124" s="968" t="s">
        <v>193</v>
      </c>
      <c r="C124" s="970" t="s">
        <v>226</v>
      </c>
      <c r="D124" s="972" t="s">
        <v>194</v>
      </c>
      <c r="E124" s="990">
        <f>7.5*E111</f>
        <v>15</v>
      </c>
      <c r="F124" s="1351">
        <v>0.13</v>
      </c>
      <c r="G124" s="1352"/>
      <c r="H124" s="1353"/>
      <c r="I124" s="999">
        <v>1.7000000000000001E-2</v>
      </c>
      <c r="J124" s="1000"/>
      <c r="K124" s="1001"/>
      <c r="L124" s="420"/>
      <c r="M124" s="178"/>
      <c r="N124" s="548"/>
      <c r="O124" s="548"/>
      <c r="P124" s="421"/>
      <c r="Q124" s="554"/>
      <c r="R124" s="552">
        <f>F125+I125</f>
        <v>0.35859777000000004</v>
      </c>
      <c r="S124" s="979">
        <f>R124+R125</f>
        <v>1.1930100144000004</v>
      </c>
      <c r="T124" s="979">
        <f>E124*S124</f>
        <v>17.895150216000005</v>
      </c>
      <c r="U124" s="1048">
        <f>R125*E124</f>
        <v>12.516183666000005</v>
      </c>
      <c r="V124" s="276">
        <f t="shared" si="0"/>
        <v>1.5842423498617144</v>
      </c>
      <c r="W124" s="277">
        <f t="shared" si="1"/>
        <v>23.763635247925716</v>
      </c>
      <c r="X124" s="422"/>
    </row>
    <row r="125" spans="1:50" s="157" customFormat="1" ht="15" customHeight="1">
      <c r="A125" s="1060"/>
      <c r="B125" s="969"/>
      <c r="C125" s="996"/>
      <c r="D125" s="973"/>
      <c r="E125" s="991"/>
      <c r="F125" s="1348">
        <f>F124*$J$13/1000</f>
        <v>0.30381000000000002</v>
      </c>
      <c r="G125" s="1349"/>
      <c r="H125" s="1350"/>
      <c r="I125" s="976">
        <f>I124*$Q$13/1000</f>
        <v>5.478777E-2</v>
      </c>
      <c r="J125" s="977"/>
      <c r="K125" s="978"/>
      <c r="L125" s="249" t="s">
        <v>219</v>
      </c>
      <c r="M125" s="246" t="s">
        <v>116</v>
      </c>
      <c r="N125" s="247">
        <v>1</v>
      </c>
      <c r="O125" s="250">
        <f>E124*N125</f>
        <v>15</v>
      </c>
      <c r="P125" s="243">
        <f>0.543/3*4</f>
        <v>0.72400000000000009</v>
      </c>
      <c r="Q125" s="248">
        <f>N125*P125*$N$11</f>
        <v>0.83441224440000039</v>
      </c>
      <c r="R125" s="552">
        <f>SUM(Q125:Q125)</f>
        <v>0.83441224440000039</v>
      </c>
      <c r="S125" s="980"/>
      <c r="T125" s="980"/>
      <c r="U125" s="1049"/>
      <c r="V125" s="276">
        <f t="shared" si="0"/>
        <v>0</v>
      </c>
      <c r="W125" s="277">
        <f t="shared" si="1"/>
        <v>0</v>
      </c>
      <c r="X125" s="422"/>
    </row>
    <row r="126" spans="1:50" s="156" customFormat="1" ht="12.75" customHeight="1">
      <c r="A126" s="374"/>
      <c r="B126" s="375"/>
      <c r="C126" s="376" t="s">
        <v>153</v>
      </c>
      <c r="D126" s="377"/>
      <c r="E126" s="378"/>
      <c r="F126" s="379"/>
      <c r="G126" s="380"/>
      <c r="H126" s="379"/>
      <c r="I126" s="379"/>
      <c r="J126" s="380"/>
      <c r="K126" s="379"/>
      <c r="L126" s="381"/>
      <c r="M126" s="382"/>
      <c r="N126" s="383"/>
      <c r="O126" s="384"/>
      <c r="P126" s="379"/>
      <c r="Q126" s="385"/>
      <c r="R126" s="384"/>
      <c r="S126" s="384"/>
      <c r="T126" s="386" t="e">
        <f>SUM(T22:T125)-#REF!</f>
        <v>#REF!</v>
      </c>
      <c r="U126" s="386" t="e">
        <f>SUM(U22:U125)-#REF!</f>
        <v>#REF!</v>
      </c>
      <c r="V126" s="276">
        <f t="shared" si="0"/>
        <v>0</v>
      </c>
      <c r="W126" s="562">
        <f>SUM(W21:W125)</f>
        <v>16129.761292528307</v>
      </c>
      <c r="X126" s="422">
        <v>0.35666561624449483</v>
      </c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  <c r="AQ126" s="159"/>
      <c r="AR126" s="159"/>
      <c r="AS126" s="159"/>
      <c r="AT126" s="159"/>
      <c r="AU126" s="159"/>
      <c r="AV126" s="159"/>
      <c r="AW126" s="159"/>
      <c r="AX126" s="159"/>
    </row>
    <row r="127" spans="1:50" s="155" customFormat="1" ht="13.5" customHeight="1">
      <c r="A127" s="387"/>
      <c r="B127" s="559"/>
      <c r="C127" s="563" t="s">
        <v>314</v>
      </c>
      <c r="D127" s="559"/>
      <c r="E127" s="559"/>
      <c r="F127" s="559"/>
      <c r="G127" s="558"/>
      <c r="H127" s="558"/>
      <c r="I127" s="559"/>
      <c r="J127" s="559"/>
      <c r="K127" s="559"/>
      <c r="L127" s="388"/>
      <c r="M127" s="559"/>
      <c r="N127" s="559"/>
      <c r="O127" s="559"/>
      <c r="P127" s="559"/>
      <c r="Q127" s="559"/>
      <c r="R127" s="559"/>
      <c r="S127" s="559"/>
      <c r="T127" s="559"/>
      <c r="U127" s="389"/>
      <c r="V127" s="276">
        <f t="shared" si="0"/>
        <v>0</v>
      </c>
      <c r="W127" s="277">
        <f t="shared" si="1"/>
        <v>0</v>
      </c>
      <c r="X127" s="422"/>
      <c r="Y127" s="197"/>
      <c r="Z127" s="197"/>
      <c r="AA127" s="197"/>
      <c r="AB127" s="197"/>
      <c r="AC127" s="197"/>
      <c r="AD127" s="197"/>
      <c r="AE127" s="197"/>
      <c r="AF127" s="156"/>
      <c r="AG127" s="156"/>
    </row>
    <row r="128" spans="1:50" s="245" customFormat="1" ht="20.25" customHeight="1">
      <c r="A128" s="899">
        <v>1</v>
      </c>
      <c r="B128" s="830" t="s">
        <v>259</v>
      </c>
      <c r="C128" s="1279" t="s">
        <v>302</v>
      </c>
      <c r="D128" s="1280" t="s">
        <v>201</v>
      </c>
      <c r="E128" s="1228">
        <v>8.8000000000000007</v>
      </c>
      <c r="F128" s="1283">
        <f>205/100</f>
        <v>2.0499999999999998</v>
      </c>
      <c r="G128" s="1283"/>
      <c r="H128" s="1283"/>
      <c r="I128" s="1278">
        <v>0</v>
      </c>
      <c r="J128" s="1278"/>
      <c r="K128" s="1278"/>
      <c r="L128" s="390"/>
      <c r="M128" s="391"/>
      <c r="N128" s="391"/>
      <c r="O128" s="391"/>
      <c r="P128" s="391"/>
      <c r="Q128" s="392"/>
      <c r="R128" s="805">
        <f>F129+I129</f>
        <v>4.7908499999999998</v>
      </c>
      <c r="S128" s="805">
        <f>R128+R129</f>
        <v>4.7908499999999998</v>
      </c>
      <c r="T128" s="805">
        <f>E128*S128</f>
        <v>42.159480000000002</v>
      </c>
      <c r="U128" s="850"/>
      <c r="V128" s="276">
        <f t="shared" si="0"/>
        <v>6.3619478212445353</v>
      </c>
      <c r="W128" s="277">
        <f t="shared" si="1"/>
        <v>55.985140826951913</v>
      </c>
      <c r="X128" s="422"/>
    </row>
    <row r="129" spans="1:38" s="245" customFormat="1" ht="20.25" customHeight="1">
      <c r="A129" s="1224"/>
      <c r="B129" s="831"/>
      <c r="C129" s="1279"/>
      <c r="D129" s="1280"/>
      <c r="E129" s="1281"/>
      <c r="F129" s="816">
        <f>F128*$J$13/1000</f>
        <v>4.7908499999999998</v>
      </c>
      <c r="G129" s="816"/>
      <c r="H129" s="816"/>
      <c r="I129" s="1278">
        <f>I128*$Q$13/1000</f>
        <v>0</v>
      </c>
      <c r="J129" s="1278"/>
      <c r="K129" s="1278"/>
      <c r="L129" s="393"/>
      <c r="M129" s="394"/>
      <c r="N129" s="394"/>
      <c r="O129" s="394"/>
      <c r="P129" s="394"/>
      <c r="Q129" s="395"/>
      <c r="R129" s="806"/>
      <c r="S129" s="806"/>
      <c r="T129" s="806"/>
      <c r="U129" s="888"/>
      <c r="V129" s="276">
        <f t="shared" si="0"/>
        <v>0</v>
      </c>
      <c r="W129" s="277">
        <f t="shared" si="1"/>
        <v>0</v>
      </c>
      <c r="X129" s="422"/>
    </row>
    <row r="130" spans="1:38" s="245" customFormat="1" ht="13.5" customHeight="1">
      <c r="A130" s="899">
        <f>+A128+1</f>
        <v>2</v>
      </c>
      <c r="B130" s="830" t="s">
        <v>179</v>
      </c>
      <c r="C130" s="1279" t="s">
        <v>200</v>
      </c>
      <c r="D130" s="1280" t="s">
        <v>201</v>
      </c>
      <c r="E130" s="1228">
        <v>20.3</v>
      </c>
      <c r="F130" s="816">
        <v>3.68</v>
      </c>
      <c r="G130" s="816"/>
      <c r="H130" s="816"/>
      <c r="I130" s="1278">
        <v>0</v>
      </c>
      <c r="J130" s="1278"/>
      <c r="K130" s="1278"/>
      <c r="L130" s="390"/>
      <c r="M130" s="391"/>
      <c r="N130" s="391"/>
      <c r="O130" s="391"/>
      <c r="P130" s="391"/>
      <c r="Q130" s="392"/>
      <c r="R130" s="805">
        <f>F131+I131</f>
        <v>8.6001600000000007</v>
      </c>
      <c r="S130" s="805">
        <f>R130+R131</f>
        <v>8.6001600000000007</v>
      </c>
      <c r="T130" s="805">
        <f>E130*S130</f>
        <v>174.58324800000003</v>
      </c>
      <c r="U130" s="850"/>
      <c r="V130" s="276">
        <f t="shared" si="0"/>
        <v>11.420472186429215</v>
      </c>
      <c r="W130" s="277">
        <f t="shared" si="1"/>
        <v>231.83558538451308</v>
      </c>
      <c r="X130" s="422"/>
    </row>
    <row r="131" spans="1:38" s="245" customFormat="1" ht="13.5" customHeight="1">
      <c r="A131" s="1224"/>
      <c r="B131" s="831"/>
      <c r="C131" s="1279"/>
      <c r="D131" s="1280"/>
      <c r="E131" s="1281"/>
      <c r="F131" s="816">
        <f>F130*$J$13/1000</f>
        <v>8.6001600000000007</v>
      </c>
      <c r="G131" s="816"/>
      <c r="H131" s="816"/>
      <c r="I131" s="1278">
        <f>I130*$Q$13/1000</f>
        <v>0</v>
      </c>
      <c r="J131" s="1278"/>
      <c r="K131" s="1278"/>
      <c r="L131" s="393"/>
      <c r="M131" s="394"/>
      <c r="N131" s="394"/>
      <c r="O131" s="394"/>
      <c r="P131" s="394"/>
      <c r="Q131" s="395"/>
      <c r="R131" s="806"/>
      <c r="S131" s="806"/>
      <c r="T131" s="806"/>
      <c r="U131" s="888"/>
      <c r="V131" s="276">
        <f t="shared" si="0"/>
        <v>0</v>
      </c>
      <c r="W131" s="277">
        <f t="shared" si="1"/>
        <v>0</v>
      </c>
      <c r="X131" s="422"/>
    </row>
    <row r="132" spans="1:38" s="245" customFormat="1" ht="12.75" customHeight="1">
      <c r="A132" s="899">
        <f>+A130+1</f>
        <v>3</v>
      </c>
      <c r="B132" s="830" t="s">
        <v>181</v>
      </c>
      <c r="C132" s="1296" t="s">
        <v>202</v>
      </c>
      <c r="D132" s="1298" t="s">
        <v>203</v>
      </c>
      <c r="E132" s="1228">
        <v>29.1</v>
      </c>
      <c r="F132" s="816">
        <f>0.01*56.2</f>
        <v>0.56200000000000006</v>
      </c>
      <c r="G132" s="816"/>
      <c r="H132" s="816"/>
      <c r="I132" s="1223"/>
      <c r="J132" s="1223"/>
      <c r="K132" s="1223"/>
      <c r="L132" s="390"/>
      <c r="M132" s="391"/>
      <c r="N132" s="391"/>
      <c r="O132" s="391"/>
      <c r="P132" s="391"/>
      <c r="Q132" s="392"/>
      <c r="R132" s="805">
        <f>F133+I133</f>
        <v>1.3133940000000002</v>
      </c>
      <c r="S132" s="805">
        <f>R132+R133</f>
        <v>1.3133940000000002</v>
      </c>
      <c r="T132" s="805">
        <f>E132*S132</f>
        <v>38.219765400000007</v>
      </c>
      <c r="U132" s="555"/>
      <c r="V132" s="276">
        <f t="shared" si="0"/>
        <v>1.7441047197753312</v>
      </c>
      <c r="W132" s="277">
        <f t="shared" si="1"/>
        <v>50.753447345462142</v>
      </c>
      <c r="X132" s="422"/>
      <c r="Y132" s="156"/>
      <c r="Z132" s="401"/>
      <c r="AA132" s="401"/>
      <c r="AB132" s="401"/>
      <c r="AC132" s="401"/>
      <c r="AD132" s="401"/>
      <c r="AE132" s="401"/>
      <c r="AF132" s="401"/>
      <c r="AG132" s="401"/>
      <c r="AH132" s="401"/>
      <c r="AI132" s="401"/>
      <c r="AJ132" s="401"/>
      <c r="AK132" s="401"/>
      <c r="AL132" s="401"/>
    </row>
    <row r="133" spans="1:38" s="245" customFormat="1" ht="12.75" customHeight="1">
      <c r="A133" s="1224"/>
      <c r="B133" s="831"/>
      <c r="C133" s="1297"/>
      <c r="D133" s="1299"/>
      <c r="E133" s="1281"/>
      <c r="F133" s="816">
        <f>F132*$J$13/1000</f>
        <v>1.3133940000000002</v>
      </c>
      <c r="G133" s="816"/>
      <c r="H133" s="816"/>
      <c r="I133" s="885">
        <f>J132*$Q$13/1000</f>
        <v>0</v>
      </c>
      <c r="J133" s="885"/>
      <c r="K133" s="885"/>
      <c r="L133" s="393"/>
      <c r="M133" s="394"/>
      <c r="N133" s="394"/>
      <c r="O133" s="394"/>
      <c r="P133" s="394"/>
      <c r="Q133" s="395"/>
      <c r="R133" s="806"/>
      <c r="S133" s="806"/>
      <c r="T133" s="806"/>
      <c r="U133" s="556"/>
      <c r="V133" s="276">
        <f t="shared" si="0"/>
        <v>0</v>
      </c>
      <c r="W133" s="277">
        <f t="shared" si="1"/>
        <v>0</v>
      </c>
      <c r="X133" s="422"/>
      <c r="Y133" s="158"/>
      <c r="Z133" s="401"/>
      <c r="AA133" s="401"/>
      <c r="AB133" s="401"/>
      <c r="AC133" s="401"/>
      <c r="AD133" s="401"/>
      <c r="AE133" s="401"/>
      <c r="AF133" s="401"/>
      <c r="AG133" s="401"/>
      <c r="AH133" s="401"/>
      <c r="AI133" s="401"/>
      <c r="AJ133" s="401"/>
      <c r="AK133" s="401"/>
      <c r="AL133" s="401"/>
    </row>
    <row r="134" spans="1:38" s="408" customFormat="1" ht="12.75" customHeight="1">
      <c r="A134" s="1058">
        <f>+A132+1</f>
        <v>4</v>
      </c>
      <c r="B134" s="968" t="s">
        <v>182</v>
      </c>
      <c r="C134" s="1288" t="s">
        <v>204</v>
      </c>
      <c r="D134" s="823" t="s">
        <v>201</v>
      </c>
      <c r="E134" s="990">
        <v>29.1</v>
      </c>
      <c r="F134" s="999">
        <v>2.78</v>
      </c>
      <c r="G134" s="1000"/>
      <c r="H134" s="1001"/>
      <c r="I134" s="999">
        <v>0.34</v>
      </c>
      <c r="J134" s="1000"/>
      <c r="K134" s="1001"/>
      <c r="L134" s="342"/>
      <c r="M134" s="178"/>
      <c r="N134" s="407"/>
      <c r="O134" s="548"/>
      <c r="P134" s="548"/>
      <c r="Q134" s="547"/>
      <c r="R134" s="552">
        <f>F135+I135</f>
        <v>7.5926153999999997</v>
      </c>
      <c r="S134" s="979">
        <f>R134+R135</f>
        <v>46.176733652216264</v>
      </c>
      <c r="T134" s="979">
        <f>E134*S134</f>
        <v>1343.7429492794934</v>
      </c>
      <c r="U134" s="992">
        <f>E134*R135</f>
        <v>1122.7978411394934</v>
      </c>
      <c r="V134" s="276">
        <f t="shared" si="0"/>
        <v>61.319801298497438</v>
      </c>
      <c r="W134" s="277">
        <f t="shared" si="1"/>
        <v>1784.4062177862756</v>
      </c>
      <c r="X134" s="422"/>
    </row>
    <row r="135" spans="1:38" s="408" customFormat="1" ht="12">
      <c r="A135" s="1059"/>
      <c r="B135" s="995"/>
      <c r="C135" s="1289"/>
      <c r="D135" s="1291"/>
      <c r="E135" s="998"/>
      <c r="F135" s="1017">
        <f>F134*$J$13/1000</f>
        <v>6.4968599999999999</v>
      </c>
      <c r="G135" s="1018"/>
      <c r="H135" s="1016"/>
      <c r="I135" s="1017">
        <f>I134*$Q$13/1000</f>
        <v>1.0957554</v>
      </c>
      <c r="J135" s="1018"/>
      <c r="K135" s="1016"/>
      <c r="L135" s="252" t="s">
        <v>183</v>
      </c>
      <c r="M135" s="253" t="s">
        <v>184</v>
      </c>
      <c r="N135" s="409">
        <v>1.02</v>
      </c>
      <c r="O135" s="255">
        <f>E134*N135</f>
        <v>29.682000000000002</v>
      </c>
      <c r="P135" s="240">
        <v>27.25</v>
      </c>
      <c r="Q135" s="256">
        <f>N135*P135*$N$11</f>
        <v>32.033823664500012</v>
      </c>
      <c r="R135" s="979">
        <f>SUM(Q135:Q137)</f>
        <v>38.584118252216264</v>
      </c>
      <c r="S135" s="1002"/>
      <c r="T135" s="1002"/>
      <c r="U135" s="1019"/>
      <c r="V135" s="276">
        <f t="shared" si="0"/>
        <v>0</v>
      </c>
      <c r="W135" s="277">
        <f t="shared" si="1"/>
        <v>0</v>
      </c>
      <c r="X135" s="422"/>
    </row>
    <row r="136" spans="1:38" s="408" customFormat="1" ht="12">
      <c r="A136" s="1059"/>
      <c r="B136" s="995"/>
      <c r="C136" s="1289"/>
      <c r="D136" s="1291"/>
      <c r="E136" s="998"/>
      <c r="F136" s="1021"/>
      <c r="G136" s="1022"/>
      <c r="H136" s="1023"/>
      <c r="I136" s="1021"/>
      <c r="J136" s="1022"/>
      <c r="K136" s="1023"/>
      <c r="L136" s="262" t="s">
        <v>185</v>
      </c>
      <c r="M136" s="263" t="s">
        <v>186</v>
      </c>
      <c r="N136" s="410">
        <v>1.17</v>
      </c>
      <c r="O136" s="264">
        <f>E134*N136</f>
        <v>34.046999999999997</v>
      </c>
      <c r="P136" s="240">
        <v>3.5</v>
      </c>
      <c r="Q136" s="265">
        <f>N136*P136*$N$11</f>
        <v>4.719500194500001</v>
      </c>
      <c r="R136" s="1002"/>
      <c r="S136" s="1002"/>
      <c r="T136" s="1002"/>
      <c r="U136" s="1019"/>
      <c r="V136" s="276">
        <f t="shared" si="0"/>
        <v>0</v>
      </c>
      <c r="W136" s="277">
        <f t="shared" si="1"/>
        <v>0</v>
      </c>
      <c r="X136" s="422"/>
    </row>
    <row r="137" spans="1:38" s="408" customFormat="1" ht="13.5" customHeight="1">
      <c r="A137" s="1060"/>
      <c r="B137" s="969"/>
      <c r="C137" s="1290"/>
      <c r="D137" s="824"/>
      <c r="E137" s="991"/>
      <c r="F137" s="985"/>
      <c r="G137" s="986"/>
      <c r="H137" s="987"/>
      <c r="I137" s="985"/>
      <c r="J137" s="986"/>
      <c r="K137" s="987"/>
      <c r="L137" s="266" t="s">
        <v>187</v>
      </c>
      <c r="M137" s="257" t="s">
        <v>184</v>
      </c>
      <c r="N137" s="411">
        <v>1.2500000000000001E-2</v>
      </c>
      <c r="O137" s="259">
        <f>E134*N137</f>
        <v>0.36375000000000002</v>
      </c>
      <c r="P137" s="373">
        <v>127.083</v>
      </c>
      <c r="Q137" s="261">
        <f>N137*P137*$N$11</f>
        <v>1.8307943932162507</v>
      </c>
      <c r="R137" s="980"/>
      <c r="S137" s="980"/>
      <c r="T137" s="980"/>
      <c r="U137" s="993"/>
      <c r="V137" s="276">
        <f t="shared" si="0"/>
        <v>0</v>
      </c>
      <c r="W137" s="277">
        <f t="shared" si="1"/>
        <v>0</v>
      </c>
      <c r="X137" s="422"/>
    </row>
    <row r="138" spans="1:38" s="416" customFormat="1" ht="14.25" customHeight="1">
      <c r="A138" s="1058">
        <f>+A134+1</f>
        <v>5</v>
      </c>
      <c r="B138" s="968" t="s">
        <v>188</v>
      </c>
      <c r="C138" s="1301" t="s">
        <v>206</v>
      </c>
      <c r="D138" s="1304" t="s">
        <v>199</v>
      </c>
      <c r="E138" s="1307">
        <v>128</v>
      </c>
      <c r="F138" s="1308">
        <f>0.001*14.8</f>
        <v>1.4800000000000001E-2</v>
      </c>
      <c r="G138" s="1309"/>
      <c r="H138" s="1310"/>
      <c r="I138" s="999">
        <f>0.001*4.98</f>
        <v>4.9800000000000009E-3</v>
      </c>
      <c r="J138" s="1000"/>
      <c r="K138" s="1001"/>
      <c r="L138" s="342" t="s">
        <v>260</v>
      </c>
      <c r="M138" s="178"/>
      <c r="N138" s="407"/>
      <c r="O138" s="548"/>
      <c r="P138" s="548"/>
      <c r="Q138" s="547"/>
      <c r="R138" s="551">
        <f>F139+I139</f>
        <v>5.0637193800000008E-2</v>
      </c>
      <c r="S138" s="1070">
        <f>R138+R139</f>
        <v>0.68863524988560021</v>
      </c>
      <c r="T138" s="1070">
        <f>E138*S138</f>
        <v>88.145311985356827</v>
      </c>
      <c r="U138" s="1311">
        <f>R139*E138</f>
        <v>81.663751178956829</v>
      </c>
      <c r="V138" s="276">
        <f t="shared" si="0"/>
        <v>0.91446434925783115</v>
      </c>
      <c r="W138" s="277">
        <f t="shared" si="1"/>
        <v>117.05143670500239</v>
      </c>
      <c r="X138" s="422"/>
      <c r="Y138" s="157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59"/>
    </row>
    <row r="139" spans="1:38" s="416" customFormat="1" ht="14.25" customHeight="1">
      <c r="A139" s="1059"/>
      <c r="B139" s="995"/>
      <c r="C139" s="1302"/>
      <c r="D139" s="1305"/>
      <c r="E139" s="1307"/>
      <c r="F139" s="1070">
        <f>F138*J$13/1000</f>
        <v>3.4587600000000003E-2</v>
      </c>
      <c r="G139" s="1070"/>
      <c r="H139" s="1070"/>
      <c r="I139" s="1070">
        <f>I138*$Q$13/1000</f>
        <v>1.6049593800000005E-2</v>
      </c>
      <c r="J139" s="1070"/>
      <c r="K139" s="1070"/>
      <c r="L139" s="252" t="s">
        <v>189</v>
      </c>
      <c r="M139" s="253" t="s">
        <v>124</v>
      </c>
      <c r="N139" s="409">
        <v>1</v>
      </c>
      <c r="O139" s="255">
        <f>E138*N139</f>
        <v>128</v>
      </c>
      <c r="P139" s="239">
        <v>0.55000000000000004</v>
      </c>
      <c r="Q139" s="256">
        <f>N139*P139*$N$11</f>
        <v>0.63387670500000026</v>
      </c>
      <c r="R139" s="1070">
        <f>SUM(Q139:Q140)</f>
        <v>0.63799805608560023</v>
      </c>
      <c r="S139" s="1070"/>
      <c r="T139" s="1070"/>
      <c r="U139" s="1311"/>
      <c r="V139" s="276">
        <f t="shared" si="0"/>
        <v>0</v>
      </c>
      <c r="W139" s="277">
        <f t="shared" si="1"/>
        <v>0</v>
      </c>
      <c r="X139" s="422"/>
      <c r="Y139" s="157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</row>
    <row r="140" spans="1:38" s="416" customFormat="1" ht="13.5" customHeight="1">
      <c r="A140" s="1060"/>
      <c r="B140" s="969"/>
      <c r="C140" s="1303"/>
      <c r="D140" s="1306"/>
      <c r="E140" s="1307"/>
      <c r="F140" s="1070"/>
      <c r="G140" s="1070"/>
      <c r="H140" s="1070"/>
      <c r="I140" s="1070"/>
      <c r="J140" s="1070"/>
      <c r="K140" s="1070"/>
      <c r="L140" s="262" t="s">
        <v>190</v>
      </c>
      <c r="M140" s="263" t="s">
        <v>124</v>
      </c>
      <c r="N140" s="410">
        <v>4.0000000000000001E-3</v>
      </c>
      <c r="O140" s="264">
        <f>E138*N140</f>
        <v>0.51200000000000001</v>
      </c>
      <c r="P140" s="240">
        <v>0.89400000000000002</v>
      </c>
      <c r="Q140" s="415">
        <f t="shared" ref="Q140" si="7">N140*P140*$N$11</f>
        <v>4.1213510856000016E-3</v>
      </c>
      <c r="R140" s="1070"/>
      <c r="S140" s="1070"/>
      <c r="T140" s="1070"/>
      <c r="U140" s="1311"/>
      <c r="V140" s="276">
        <f t="shared" si="0"/>
        <v>0</v>
      </c>
      <c r="W140" s="277">
        <f t="shared" si="1"/>
        <v>0</v>
      </c>
      <c r="X140" s="422"/>
      <c r="Y140" s="157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59"/>
      <c r="AJ140" s="159"/>
      <c r="AK140" s="159"/>
      <c r="AL140" s="159"/>
    </row>
    <row r="141" spans="1:38" s="244" customFormat="1">
      <c r="A141" s="1058">
        <f>+A138+1</f>
        <v>6</v>
      </c>
      <c r="B141" s="1272" t="s">
        <v>191</v>
      </c>
      <c r="C141" s="1301" t="s">
        <v>207</v>
      </c>
      <c r="D141" s="1304" t="s">
        <v>199</v>
      </c>
      <c r="E141" s="1314">
        <v>20.399999999999999</v>
      </c>
      <c r="F141" s="1312"/>
      <c r="G141" s="1312"/>
      <c r="H141" s="1312"/>
      <c r="I141" s="1313"/>
      <c r="J141" s="1313"/>
      <c r="K141" s="1313"/>
      <c r="L141" s="417"/>
      <c r="M141" s="418"/>
      <c r="N141" s="418"/>
      <c r="O141" s="418"/>
      <c r="P141" s="418"/>
      <c r="Q141" s="419"/>
      <c r="R141" s="553"/>
      <c r="S141" s="1265">
        <f>R141+R142</f>
        <v>1.294947303370787</v>
      </c>
      <c r="T141" s="1265">
        <f>E141*S141</f>
        <v>26.416924988764052</v>
      </c>
      <c r="U141" s="1264">
        <f>R142*E141</f>
        <v>26.416924988764052</v>
      </c>
      <c r="V141" s="276">
        <f t="shared" si="0"/>
        <v>1.7196086655408256</v>
      </c>
      <c r="W141" s="277">
        <f t="shared" si="1"/>
        <v>35.080016777032839</v>
      </c>
      <c r="X141" s="422"/>
    </row>
    <row r="142" spans="1:38" s="244" customFormat="1" ht="13.5" customHeight="1">
      <c r="A142" s="1060"/>
      <c r="B142" s="1272"/>
      <c r="C142" s="1303"/>
      <c r="D142" s="1306"/>
      <c r="E142" s="1314"/>
      <c r="F142" s="1312"/>
      <c r="G142" s="1312"/>
      <c r="H142" s="1312"/>
      <c r="I142" s="1313"/>
      <c r="J142" s="1313"/>
      <c r="K142" s="1313"/>
      <c r="L142" s="249" t="s">
        <v>192</v>
      </c>
      <c r="M142" s="253" t="s">
        <v>124</v>
      </c>
      <c r="N142" s="267">
        <v>1</v>
      </c>
      <c r="O142" s="268">
        <f>E141*N142</f>
        <v>20.399999999999999</v>
      </c>
      <c r="P142" s="243">
        <f>1 /0.89</f>
        <v>1.1235955056179776</v>
      </c>
      <c r="Q142" s="236">
        <f>N142*P142*$N$11</f>
        <v>1.294947303370787</v>
      </c>
      <c r="R142" s="553">
        <f>SUM(Q142:Q142)</f>
        <v>1.294947303370787</v>
      </c>
      <c r="S142" s="1265"/>
      <c r="T142" s="1265"/>
      <c r="U142" s="1264"/>
      <c r="V142" s="276">
        <f t="shared" si="0"/>
        <v>0</v>
      </c>
      <c r="W142" s="277">
        <f t="shared" si="1"/>
        <v>0</v>
      </c>
      <c r="X142" s="422"/>
    </row>
    <row r="143" spans="1:38" s="157" customFormat="1" ht="14.25" customHeight="1">
      <c r="A143" s="1058">
        <f>+A141+1</f>
        <v>7</v>
      </c>
      <c r="B143" s="968" t="s">
        <v>261</v>
      </c>
      <c r="C143" s="988" t="s">
        <v>304</v>
      </c>
      <c r="D143" s="972" t="s">
        <v>199</v>
      </c>
      <c r="E143" s="990">
        <v>91.2</v>
      </c>
      <c r="F143" s="999">
        <v>0.124</v>
      </c>
      <c r="G143" s="1000"/>
      <c r="H143" s="1001"/>
      <c r="I143" s="1039">
        <f>1.4/1000</f>
        <v>1.4E-3</v>
      </c>
      <c r="J143" s="1040"/>
      <c r="K143" s="1041"/>
      <c r="L143" s="342"/>
      <c r="M143" s="178"/>
      <c r="N143" s="548"/>
      <c r="O143" s="546"/>
      <c r="P143" s="548"/>
      <c r="Q143" s="547"/>
      <c r="R143" s="552">
        <f>F144+I144</f>
        <v>0.29429993399999999</v>
      </c>
      <c r="S143" s="979">
        <f>R143+R144</f>
        <v>0.640050864</v>
      </c>
      <c r="T143" s="979">
        <f>E143*S143</f>
        <v>58.372638796800004</v>
      </c>
      <c r="U143" s="1048">
        <f>R144*E143</f>
        <v>31.532484816000007</v>
      </c>
      <c r="V143" s="276">
        <f t="shared" si="0"/>
        <v>0.84994733705093717</v>
      </c>
      <c r="W143" s="277">
        <f t="shared" si="1"/>
        <v>77.515197139045469</v>
      </c>
      <c r="X143" s="422"/>
      <c r="Y143" s="242"/>
    </row>
    <row r="144" spans="1:38" s="157" customFormat="1" ht="17.25" customHeight="1">
      <c r="A144" s="1060"/>
      <c r="B144" s="995"/>
      <c r="C144" s="989"/>
      <c r="D144" s="973"/>
      <c r="E144" s="998"/>
      <c r="F144" s="1017">
        <f>F143*J$13/1000</f>
        <v>0.28978799999999999</v>
      </c>
      <c r="G144" s="1018"/>
      <c r="H144" s="1016"/>
      <c r="I144" s="1053">
        <f>I143*$Q$13/1000</f>
        <v>4.5119340000000004E-3</v>
      </c>
      <c r="J144" s="1054"/>
      <c r="K144" s="1055"/>
      <c r="L144" s="249" t="s">
        <v>262</v>
      </c>
      <c r="M144" s="253" t="s">
        <v>124</v>
      </c>
      <c r="N144" s="267">
        <v>1</v>
      </c>
      <c r="O144" s="268">
        <f>E143*N144</f>
        <v>91.2</v>
      </c>
      <c r="P144" s="246">
        <v>0.3</v>
      </c>
      <c r="Q144" s="236">
        <f>N144*P144*$N$11</f>
        <v>0.34575093000000007</v>
      </c>
      <c r="R144" s="550">
        <f>SUM(Q144:Q144)</f>
        <v>0.34575093000000007</v>
      </c>
      <c r="S144" s="1002"/>
      <c r="T144" s="1002"/>
      <c r="U144" s="1251"/>
      <c r="V144" s="276">
        <f t="shared" si="0"/>
        <v>0</v>
      </c>
      <c r="W144" s="277">
        <f t="shared" si="1"/>
        <v>0</v>
      </c>
      <c r="X144" s="422"/>
      <c r="Y144" s="242"/>
    </row>
    <row r="145" spans="1:39" s="416" customFormat="1" ht="14.25" customHeight="1">
      <c r="A145" s="1058">
        <f>+A143+1</f>
        <v>8</v>
      </c>
      <c r="B145" s="968" t="s">
        <v>188</v>
      </c>
      <c r="C145" s="1354" t="s">
        <v>315</v>
      </c>
      <c r="D145" s="1315" t="s">
        <v>199</v>
      </c>
      <c r="E145" s="1307">
        <f>1623.6+974.2+559.3</f>
        <v>3157.1000000000004</v>
      </c>
      <c r="F145" s="1308">
        <f>0.001*14.8</f>
        <v>1.4800000000000001E-2</v>
      </c>
      <c r="G145" s="1309"/>
      <c r="H145" s="1310"/>
      <c r="I145" s="999">
        <f>0.001*4.98</f>
        <v>4.9800000000000009E-3</v>
      </c>
      <c r="J145" s="1000"/>
      <c r="K145" s="1001"/>
      <c r="L145" s="342"/>
      <c r="M145" s="178"/>
      <c r="N145" s="407"/>
      <c r="O145" s="548"/>
      <c r="P145" s="561"/>
      <c r="Q145" s="547"/>
      <c r="R145" s="551">
        <f>F146+I146</f>
        <v>5.0637193800000008E-2</v>
      </c>
      <c r="S145" s="1070">
        <f>R145+R146</f>
        <v>0.67228043871043386</v>
      </c>
      <c r="T145" s="1070">
        <f>E145*S145</f>
        <v>2122.4565730527111</v>
      </c>
      <c r="U145" s="1311">
        <f>R146*E145</f>
        <v>1962.5898885067311</v>
      </c>
      <c r="V145" s="276">
        <f t="shared" si="0"/>
        <v>0.89274618748638868</v>
      </c>
      <c r="W145" s="277">
        <f t="shared" si="1"/>
        <v>2818.4889885132779</v>
      </c>
      <c r="X145" s="422"/>
      <c r="Y145" s="157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59"/>
      <c r="AJ145" s="159"/>
      <c r="AK145" s="159"/>
      <c r="AL145" s="159"/>
    </row>
    <row r="146" spans="1:39" s="416" customFormat="1" ht="14.25" customHeight="1">
      <c r="A146" s="1059"/>
      <c r="B146" s="995"/>
      <c r="C146" s="1354"/>
      <c r="D146" s="1315"/>
      <c r="E146" s="1307"/>
      <c r="F146" s="1070">
        <f>F145*J$13/1000</f>
        <v>3.4587600000000003E-2</v>
      </c>
      <c r="G146" s="1070"/>
      <c r="H146" s="1070"/>
      <c r="I146" s="1070">
        <f>I145*$Q$13/1000</f>
        <v>1.6049593800000005E-2</v>
      </c>
      <c r="J146" s="1070"/>
      <c r="K146" s="1070"/>
      <c r="L146" s="252" t="s">
        <v>189</v>
      </c>
      <c r="M146" s="253" t="s">
        <v>124</v>
      </c>
      <c r="N146" s="409">
        <v>1</v>
      </c>
      <c r="O146" s="255">
        <f>E145*N146</f>
        <v>3157.1000000000004</v>
      </c>
      <c r="P146" s="239">
        <f>4.833/9.02</f>
        <v>0.535809312638581</v>
      </c>
      <c r="Q146" s="256">
        <f>N146*P146*$N$11</f>
        <v>0.61752189382483391</v>
      </c>
      <c r="R146" s="1070">
        <f>SUM(Q146:Q147)</f>
        <v>0.62164324491043388</v>
      </c>
      <c r="S146" s="1070"/>
      <c r="T146" s="1070"/>
      <c r="U146" s="1311"/>
      <c r="V146" s="276">
        <f t="shared" si="0"/>
        <v>0</v>
      </c>
      <c r="W146" s="277">
        <f t="shared" si="1"/>
        <v>0</v>
      </c>
      <c r="X146" s="422"/>
      <c r="Y146" s="157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59"/>
    </row>
    <row r="147" spans="1:39" s="416" customFormat="1" ht="13.5" customHeight="1">
      <c r="A147" s="1060"/>
      <c r="B147" s="969"/>
      <c r="C147" s="1354"/>
      <c r="D147" s="1315"/>
      <c r="E147" s="1307"/>
      <c r="F147" s="1070"/>
      <c r="G147" s="1070"/>
      <c r="H147" s="1070"/>
      <c r="I147" s="1070"/>
      <c r="J147" s="1070"/>
      <c r="K147" s="1070"/>
      <c r="L147" s="262" t="s">
        <v>190</v>
      </c>
      <c r="M147" s="263" t="s">
        <v>124</v>
      </c>
      <c r="N147" s="410">
        <v>4.0000000000000001E-3</v>
      </c>
      <c r="O147" s="240">
        <f>E145*N147</f>
        <v>12.628400000000001</v>
      </c>
      <c r="P147" s="414">
        <v>0.89400000000000002</v>
      </c>
      <c r="Q147" s="415">
        <f t="shared" ref="Q147" si="8">N147*P147*$N$11</f>
        <v>4.1213510856000016E-3</v>
      </c>
      <c r="R147" s="1070"/>
      <c r="S147" s="1070"/>
      <c r="T147" s="1070"/>
      <c r="U147" s="1311"/>
      <c r="V147" s="276">
        <f t="shared" si="0"/>
        <v>0</v>
      </c>
      <c r="W147" s="277">
        <f t="shared" si="1"/>
        <v>0</v>
      </c>
      <c r="X147" s="422"/>
      <c r="Y147" s="157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</row>
    <row r="148" spans="1:39" s="416" customFormat="1" ht="14.25" customHeight="1">
      <c r="A148" s="1058">
        <f>+A145+1</f>
        <v>9</v>
      </c>
      <c r="B148" s="968" t="s">
        <v>188</v>
      </c>
      <c r="C148" s="988" t="s">
        <v>205</v>
      </c>
      <c r="D148" s="972" t="s">
        <v>199</v>
      </c>
      <c r="E148" s="1307">
        <f>64.8+408.24</f>
        <v>473.04</v>
      </c>
      <c r="F148" s="1308">
        <f>0.001*14.8</f>
        <v>1.4800000000000001E-2</v>
      </c>
      <c r="G148" s="1309"/>
      <c r="H148" s="1310"/>
      <c r="I148" s="999">
        <f>0.001*4.98</f>
        <v>4.9800000000000009E-3</v>
      </c>
      <c r="J148" s="1000"/>
      <c r="K148" s="1001"/>
      <c r="L148" s="342"/>
      <c r="M148" s="178"/>
      <c r="N148" s="407"/>
      <c r="O148" s="548"/>
      <c r="P148" s="561"/>
      <c r="Q148" s="547"/>
      <c r="R148" s="551">
        <f>F149+I149</f>
        <v>5.0637193800000008E-2</v>
      </c>
      <c r="S148" s="1070">
        <f>R148+R149</f>
        <v>0.67732364538560008</v>
      </c>
      <c r="T148" s="1070">
        <f>E148*S148</f>
        <v>320.40117721320428</v>
      </c>
      <c r="U148" s="1311">
        <f>R149*E148</f>
        <v>296.44775905805227</v>
      </c>
      <c r="V148" s="276">
        <f t="shared" si="0"/>
        <v>0.89944324911828266</v>
      </c>
      <c r="W148" s="277">
        <f t="shared" si="1"/>
        <v>425.47263456291245</v>
      </c>
      <c r="X148" s="422"/>
      <c r="Y148" s="157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59"/>
      <c r="AJ148" s="159"/>
      <c r="AK148" s="159"/>
      <c r="AL148" s="159"/>
    </row>
    <row r="149" spans="1:39" s="416" customFormat="1" ht="14.25" customHeight="1">
      <c r="A149" s="1059"/>
      <c r="B149" s="995"/>
      <c r="C149" s="1020"/>
      <c r="D149" s="997"/>
      <c r="E149" s="1307"/>
      <c r="F149" s="1070">
        <f>F148*J$13/1000</f>
        <v>3.4587600000000003E-2</v>
      </c>
      <c r="G149" s="1070"/>
      <c r="H149" s="1070"/>
      <c r="I149" s="1070">
        <f>I148*$Q$13/1000</f>
        <v>1.6049593800000005E-2</v>
      </c>
      <c r="J149" s="1070"/>
      <c r="K149" s="1070"/>
      <c r="L149" s="252" t="s">
        <v>189</v>
      </c>
      <c r="M149" s="253" t="s">
        <v>124</v>
      </c>
      <c r="N149" s="409">
        <v>1</v>
      </c>
      <c r="O149" s="255">
        <f>E148*N149</f>
        <v>473.04</v>
      </c>
      <c r="P149" s="239">
        <f>2.917/5.4</f>
        <v>0.5401851851851851</v>
      </c>
      <c r="Q149" s="256">
        <f>N149*P149*$N$11</f>
        <v>0.62256510050000013</v>
      </c>
      <c r="R149" s="1070">
        <f>SUM(Q149:Q150)</f>
        <v>0.6266864515856001</v>
      </c>
      <c r="S149" s="1070"/>
      <c r="T149" s="1070"/>
      <c r="U149" s="1311"/>
      <c r="V149" s="276">
        <f t="shared" si="0"/>
        <v>0</v>
      </c>
      <c r="W149" s="277">
        <f t="shared" si="1"/>
        <v>0</v>
      </c>
      <c r="X149" s="422"/>
      <c r="Y149" s="157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</row>
    <row r="150" spans="1:39" s="416" customFormat="1" ht="13.5" customHeight="1">
      <c r="A150" s="1060"/>
      <c r="B150" s="969"/>
      <c r="C150" s="989"/>
      <c r="D150" s="973"/>
      <c r="E150" s="1307"/>
      <c r="F150" s="1070"/>
      <c r="G150" s="1070"/>
      <c r="H150" s="1070"/>
      <c r="I150" s="1070"/>
      <c r="J150" s="1070"/>
      <c r="K150" s="1070"/>
      <c r="L150" s="262" t="s">
        <v>190</v>
      </c>
      <c r="M150" s="263" t="s">
        <v>124</v>
      </c>
      <c r="N150" s="410">
        <v>4.0000000000000001E-3</v>
      </c>
      <c r="O150" s="240">
        <f>E148*N150</f>
        <v>1.8921600000000001</v>
      </c>
      <c r="P150" s="414">
        <v>0.89400000000000002</v>
      </c>
      <c r="Q150" s="415">
        <f t="shared" ref="Q150" si="9">N150*P150*$N$11</f>
        <v>4.1213510856000016E-3</v>
      </c>
      <c r="R150" s="1070"/>
      <c r="S150" s="1070"/>
      <c r="T150" s="1070"/>
      <c r="U150" s="1311"/>
      <c r="V150" s="276">
        <f t="shared" si="0"/>
        <v>0</v>
      </c>
      <c r="W150" s="277">
        <f t="shared" si="1"/>
        <v>0</v>
      </c>
      <c r="X150" s="422"/>
      <c r="Y150" s="157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</row>
    <row r="151" spans="1:39" s="416" customFormat="1" ht="14.25" customHeight="1">
      <c r="A151" s="1058">
        <f>+A148+1</f>
        <v>10</v>
      </c>
      <c r="B151" s="968" t="s">
        <v>188</v>
      </c>
      <c r="C151" s="1240" t="s">
        <v>220</v>
      </c>
      <c r="D151" s="972" t="s">
        <v>199</v>
      </c>
      <c r="E151" s="1318">
        <v>161</v>
      </c>
      <c r="F151" s="1308">
        <f>0.001*14.8</f>
        <v>1.4800000000000001E-2</v>
      </c>
      <c r="G151" s="1309"/>
      <c r="H151" s="1310"/>
      <c r="I151" s="1321">
        <f>0.001*4.98</f>
        <v>4.9800000000000009E-3</v>
      </c>
      <c r="J151" s="1322"/>
      <c r="K151" s="1323"/>
      <c r="L151" s="342"/>
      <c r="M151" s="178"/>
      <c r="N151" s="407"/>
      <c r="O151" s="548"/>
      <c r="P151" s="548"/>
      <c r="Q151" s="547"/>
      <c r="R151" s="551">
        <f>F152+I152</f>
        <v>5.0637193800000008E-2</v>
      </c>
      <c r="S151" s="1070">
        <f>R151+R152</f>
        <v>0.80938991469120014</v>
      </c>
      <c r="T151" s="1070">
        <f>E151*S151</f>
        <v>130.31177626528321</v>
      </c>
      <c r="U151" s="1311">
        <f>R152*E151</f>
        <v>122.15918806348323</v>
      </c>
      <c r="V151" s="276">
        <f t="shared" si="0"/>
        <v>1.074818957869059</v>
      </c>
      <c r="W151" s="277">
        <f t="shared" si="1"/>
        <v>173.04585221691849</v>
      </c>
      <c r="X151" s="422"/>
      <c r="Y151" s="157"/>
      <c r="Z151" s="159"/>
      <c r="AA151" s="159"/>
      <c r="AB151" s="159"/>
      <c r="AC151" s="159"/>
      <c r="AD151" s="159"/>
      <c r="AE151" s="159"/>
      <c r="AF151" s="159"/>
      <c r="AG151" s="159"/>
      <c r="AH151" s="159"/>
      <c r="AI151" s="159"/>
      <c r="AJ151" s="159"/>
      <c r="AK151" s="159"/>
      <c r="AL151" s="159"/>
    </row>
    <row r="152" spans="1:39" s="416" customFormat="1" ht="13.5" customHeight="1">
      <c r="A152" s="1059"/>
      <c r="B152" s="995"/>
      <c r="C152" s="1317"/>
      <c r="D152" s="997"/>
      <c r="E152" s="1319"/>
      <c r="F152" s="1070">
        <f>F151*J$13/1000</f>
        <v>3.4587600000000003E-2</v>
      </c>
      <c r="G152" s="1070"/>
      <c r="H152" s="1070"/>
      <c r="I152" s="1070">
        <f>I151*$Q$13/1000</f>
        <v>1.6049593800000005E-2</v>
      </c>
      <c r="J152" s="1070"/>
      <c r="K152" s="1070"/>
      <c r="L152" s="252" t="s">
        <v>208</v>
      </c>
      <c r="M152" s="253" t="s">
        <v>124</v>
      </c>
      <c r="N152" s="409">
        <v>1</v>
      </c>
      <c r="O152" s="255">
        <f>E151*N152</f>
        <v>161</v>
      </c>
      <c r="P152" s="239">
        <v>0.65</v>
      </c>
      <c r="Q152" s="256">
        <f>N152*P152*$N$11</f>
        <v>0.74912701500000023</v>
      </c>
      <c r="R152" s="1070">
        <f>SUM(Q152:Q154)</f>
        <v>0.75875272089120016</v>
      </c>
      <c r="S152" s="1070"/>
      <c r="T152" s="1070"/>
      <c r="U152" s="1311"/>
      <c r="V152" s="276">
        <f t="shared" si="0"/>
        <v>0</v>
      </c>
      <c r="W152" s="277">
        <f t="shared" si="1"/>
        <v>0</v>
      </c>
      <c r="X152" s="422"/>
      <c r="Y152" s="157"/>
      <c r="Z152" s="159"/>
      <c r="AA152" s="159"/>
      <c r="AB152" s="159"/>
      <c r="AC152" s="159"/>
      <c r="AD152" s="159"/>
      <c r="AE152" s="159"/>
      <c r="AF152" s="159"/>
      <c r="AG152" s="159"/>
      <c r="AH152" s="159"/>
      <c r="AI152" s="159"/>
      <c r="AJ152" s="159"/>
      <c r="AK152" s="159"/>
      <c r="AL152" s="159"/>
    </row>
    <row r="153" spans="1:39" s="416" customFormat="1" ht="13.5" customHeight="1">
      <c r="A153" s="1059"/>
      <c r="B153" s="995"/>
      <c r="C153" s="1317"/>
      <c r="D153" s="997"/>
      <c r="E153" s="1319"/>
      <c r="F153" s="1070"/>
      <c r="G153" s="1070"/>
      <c r="H153" s="1070"/>
      <c r="I153" s="1070"/>
      <c r="J153" s="1070"/>
      <c r="K153" s="1070"/>
      <c r="L153" s="262" t="s">
        <v>190</v>
      </c>
      <c r="M153" s="263" t="s">
        <v>124</v>
      </c>
      <c r="N153" s="410">
        <v>4.0000000000000001E-3</v>
      </c>
      <c r="O153" s="264">
        <f>E151*N153</f>
        <v>0.64400000000000002</v>
      </c>
      <c r="P153" s="240">
        <v>0.89400000000000002</v>
      </c>
      <c r="Q153" s="415">
        <f t="shared" ref="Q153:Q154" si="10">N153*P153*$N$11</f>
        <v>4.1213510856000016E-3</v>
      </c>
      <c r="R153" s="1070"/>
      <c r="S153" s="1070"/>
      <c r="T153" s="1070"/>
      <c r="U153" s="1311"/>
      <c r="V153" s="276">
        <f t="shared" si="0"/>
        <v>0</v>
      </c>
      <c r="W153" s="277">
        <f t="shared" si="1"/>
        <v>0</v>
      </c>
      <c r="X153" s="422"/>
      <c r="Y153" s="157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59"/>
      <c r="AJ153" s="159"/>
      <c r="AK153" s="159"/>
      <c r="AL153" s="159"/>
    </row>
    <row r="154" spans="1:39" s="416" customFormat="1" ht="13.5" customHeight="1">
      <c r="A154" s="1060"/>
      <c r="B154" s="969"/>
      <c r="C154" s="1241"/>
      <c r="D154" s="973"/>
      <c r="E154" s="1320"/>
      <c r="F154" s="1070"/>
      <c r="G154" s="1070"/>
      <c r="H154" s="1070"/>
      <c r="I154" s="1070"/>
      <c r="J154" s="1070"/>
      <c r="K154" s="1070"/>
      <c r="L154" s="266" t="s">
        <v>209</v>
      </c>
      <c r="M154" s="257" t="s">
        <v>124</v>
      </c>
      <c r="N154" s="411">
        <v>4.0000000000000001E-3</v>
      </c>
      <c r="O154" s="259">
        <f>E151*N154</f>
        <v>0.64400000000000002</v>
      </c>
      <c r="P154" s="414">
        <v>1.194</v>
      </c>
      <c r="Q154" s="261">
        <f t="shared" si="10"/>
        <v>5.5043548056000011E-3</v>
      </c>
      <c r="R154" s="1070"/>
      <c r="S154" s="1070"/>
      <c r="T154" s="1070"/>
      <c r="U154" s="1311"/>
      <c r="V154" s="276">
        <f t="shared" si="0"/>
        <v>0</v>
      </c>
      <c r="W154" s="277">
        <f t="shared" si="1"/>
        <v>0</v>
      </c>
      <c r="X154" s="422"/>
      <c r="Y154" s="157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59"/>
      <c r="AJ154" s="159"/>
      <c r="AK154" s="159"/>
      <c r="AL154" s="159"/>
    </row>
    <row r="155" spans="1:39" s="157" customFormat="1" ht="12.75" customHeight="1">
      <c r="A155" s="1058">
        <f>+A151+1</f>
        <v>11</v>
      </c>
      <c r="B155" s="1136" t="s">
        <v>127</v>
      </c>
      <c r="C155" s="1316" t="s">
        <v>306</v>
      </c>
      <c r="D155" s="972" t="s">
        <v>195</v>
      </c>
      <c r="E155" s="990">
        <v>418.7</v>
      </c>
      <c r="F155" s="999">
        <f>4.1/100</f>
        <v>4.0999999999999995E-2</v>
      </c>
      <c r="G155" s="1000"/>
      <c r="H155" s="1001"/>
      <c r="I155" s="999">
        <f>0.4/100</f>
        <v>4.0000000000000001E-3</v>
      </c>
      <c r="J155" s="1000"/>
      <c r="K155" s="1001"/>
      <c r="L155" s="269"/>
      <c r="M155" s="178"/>
      <c r="N155" s="548"/>
      <c r="O155" s="548"/>
      <c r="P155" s="548"/>
      <c r="Q155" s="547"/>
      <c r="R155" s="552">
        <f>F156+I156</f>
        <v>0.10870824</v>
      </c>
      <c r="S155" s="979">
        <f>R155+R156</f>
        <v>0.19148698858400004</v>
      </c>
      <c r="T155" s="979">
        <f>E155*S155</f>
        <v>80.175602120120814</v>
      </c>
      <c r="U155" s="1144">
        <f>R156*E155</f>
        <v>34.659462032120814</v>
      </c>
      <c r="V155" s="276">
        <f t="shared" si="0"/>
        <v>0.2542826909251294</v>
      </c>
      <c r="W155" s="277">
        <f t="shared" si="1"/>
        <v>106.46816269035168</v>
      </c>
      <c r="X155" s="422"/>
      <c r="Y155" s="242"/>
    </row>
    <row r="156" spans="1:39" s="157" customFormat="1" ht="12.75" customHeight="1">
      <c r="A156" s="1059"/>
      <c r="B156" s="1136"/>
      <c r="C156" s="1316"/>
      <c r="D156" s="997"/>
      <c r="E156" s="998"/>
      <c r="F156" s="1017">
        <f>F155*J$13/1000</f>
        <v>9.5816999999999999E-2</v>
      </c>
      <c r="G156" s="1018"/>
      <c r="H156" s="1016"/>
      <c r="I156" s="1017">
        <f>I155*$Q$13/1000</f>
        <v>1.289124E-2</v>
      </c>
      <c r="J156" s="1018"/>
      <c r="K156" s="1016"/>
      <c r="L156" s="345" t="s">
        <v>128</v>
      </c>
      <c r="M156" s="253" t="s">
        <v>124</v>
      </c>
      <c r="N156" s="268">
        <v>0.03</v>
      </c>
      <c r="O156" s="343">
        <f>E155*N156</f>
        <v>12.561</v>
      </c>
      <c r="P156" s="344">
        <f>0.542*2</f>
        <v>1.0840000000000001</v>
      </c>
      <c r="Q156" s="236">
        <f>N156*P156*$N$11</f>
        <v>3.7479400812000012E-2</v>
      </c>
      <c r="R156" s="979">
        <f>SUM(Q156:Q157)</f>
        <v>8.2778748584000028E-2</v>
      </c>
      <c r="S156" s="1002"/>
      <c r="T156" s="1002"/>
      <c r="U156" s="1144"/>
      <c r="V156" s="276">
        <f t="shared" si="0"/>
        <v>0</v>
      </c>
      <c r="W156" s="277">
        <f t="shared" si="1"/>
        <v>0</v>
      </c>
      <c r="X156" s="422"/>
      <c r="Y156" s="242"/>
    </row>
    <row r="157" spans="1:39" s="157" customFormat="1" ht="12">
      <c r="A157" s="1060"/>
      <c r="B157" s="1136"/>
      <c r="C157" s="1316"/>
      <c r="D157" s="973"/>
      <c r="E157" s="991"/>
      <c r="F157" s="985"/>
      <c r="G157" s="986"/>
      <c r="H157" s="987"/>
      <c r="I157" s="985"/>
      <c r="J157" s="986"/>
      <c r="K157" s="987"/>
      <c r="L157" s="346" t="s">
        <v>129</v>
      </c>
      <c r="M157" s="257" t="s">
        <v>124</v>
      </c>
      <c r="N157" s="258">
        <f>17.2/100</f>
        <v>0.17199999999999999</v>
      </c>
      <c r="O157" s="259">
        <f>E155*N157</f>
        <v>72.01639999999999</v>
      </c>
      <c r="P157" s="358">
        <f>0.617/2.7</f>
        <v>0.22851851851851851</v>
      </c>
      <c r="Q157" s="347">
        <f>N157*P157*$N$11</f>
        <v>4.5299347772000009E-2</v>
      </c>
      <c r="R157" s="980"/>
      <c r="S157" s="980"/>
      <c r="T157" s="980"/>
      <c r="U157" s="1144"/>
      <c r="V157" s="276">
        <f t="shared" si="0"/>
        <v>0</v>
      </c>
      <c r="W157" s="277">
        <f t="shared" si="1"/>
        <v>0</v>
      </c>
      <c r="X157" s="422"/>
      <c r="Y157" s="242"/>
    </row>
    <row r="158" spans="1:39" s="157" customFormat="1" ht="12.75" customHeight="1">
      <c r="A158" s="1324">
        <f>+A155+1</f>
        <v>12</v>
      </c>
      <c r="B158" s="968" t="s">
        <v>147</v>
      </c>
      <c r="C158" s="1326" t="s">
        <v>307</v>
      </c>
      <c r="D158" s="972" t="s">
        <v>195</v>
      </c>
      <c r="E158" s="990">
        <f>+E155</f>
        <v>418.7</v>
      </c>
      <c r="F158" s="999">
        <f>21.4/100</f>
        <v>0.214</v>
      </c>
      <c r="G158" s="1000"/>
      <c r="H158" s="1001"/>
      <c r="I158" s="1039">
        <f>0.03/100</f>
        <v>2.9999999999999997E-4</v>
      </c>
      <c r="J158" s="1040"/>
      <c r="K158" s="1041"/>
      <c r="L158" s="269"/>
      <c r="M158" s="178"/>
      <c r="N158" s="548"/>
      <c r="O158" s="548"/>
      <c r="P158" s="548"/>
      <c r="Q158" s="547"/>
      <c r="R158" s="552">
        <f>F159+I159</f>
        <v>0.501084843</v>
      </c>
      <c r="S158" s="979">
        <f>R158+R159</f>
        <v>0.89437652587500016</v>
      </c>
      <c r="T158" s="979">
        <f>E158*S158</f>
        <v>374.47545138386255</v>
      </c>
      <c r="U158" s="1144">
        <f>R159*E158</f>
        <v>164.67122761976256</v>
      </c>
      <c r="V158" s="276">
        <f t="shared" si="0"/>
        <v>1.1876758383507549</v>
      </c>
      <c r="W158" s="277">
        <f t="shared" si="1"/>
        <v>497.27987351746106</v>
      </c>
      <c r="X158" s="422"/>
    </row>
    <row r="159" spans="1:39" s="157" customFormat="1" ht="16.5" customHeight="1">
      <c r="A159" s="1325"/>
      <c r="B159" s="969"/>
      <c r="C159" s="1327"/>
      <c r="D159" s="973"/>
      <c r="E159" s="991"/>
      <c r="F159" s="976">
        <f>F158*J$13/1000</f>
        <v>0.50011799999999995</v>
      </c>
      <c r="G159" s="977"/>
      <c r="H159" s="978"/>
      <c r="I159" s="1039">
        <f>I158*$Q$13/1000</f>
        <v>9.6684299999999989E-4</v>
      </c>
      <c r="J159" s="1040"/>
      <c r="K159" s="1041"/>
      <c r="L159" s="360" t="s">
        <v>130</v>
      </c>
      <c r="M159" s="246" t="s">
        <v>124</v>
      </c>
      <c r="N159" s="243">
        <f>27.3/100</f>
        <v>0.27300000000000002</v>
      </c>
      <c r="O159" s="343">
        <f>E158*N159</f>
        <v>114.30510000000001</v>
      </c>
      <c r="P159" s="243">
        <v>1.25</v>
      </c>
      <c r="Q159" s="248">
        <f>N159*P159*$N$11</f>
        <v>0.39329168287500016</v>
      </c>
      <c r="R159" s="549">
        <f>SUM(Q159:Q159)</f>
        <v>0.39329168287500016</v>
      </c>
      <c r="S159" s="980"/>
      <c r="T159" s="980"/>
      <c r="U159" s="1144"/>
      <c r="V159" s="276">
        <f t="shared" si="0"/>
        <v>0</v>
      </c>
      <c r="W159" s="277">
        <f t="shared" si="1"/>
        <v>0</v>
      </c>
      <c r="X159" s="422"/>
    </row>
    <row r="160" spans="1:39" s="210" customFormat="1" ht="21" customHeight="1">
      <c r="A160" s="1058">
        <f>+A158+1</f>
        <v>13</v>
      </c>
      <c r="B160" s="968" t="s">
        <v>269</v>
      </c>
      <c r="C160" s="1355" t="s">
        <v>316</v>
      </c>
      <c r="D160" s="1242" t="s">
        <v>194</v>
      </c>
      <c r="E160" s="974">
        <v>579</v>
      </c>
      <c r="F160" s="976">
        <v>0.33</v>
      </c>
      <c r="G160" s="977"/>
      <c r="H160" s="978"/>
      <c r="I160" s="976">
        <v>0.14000000000000001</v>
      </c>
      <c r="J160" s="977"/>
      <c r="K160" s="978"/>
      <c r="L160" s="270"/>
      <c r="M160" s="178"/>
      <c r="N160" s="548"/>
      <c r="O160" s="548"/>
      <c r="P160" s="271"/>
      <c r="Q160" s="554"/>
      <c r="R160" s="552">
        <f>F161+I161</f>
        <v>1.2224034000000001</v>
      </c>
      <c r="S160" s="979">
        <f>R160+R161</f>
        <v>9.4051754100000018</v>
      </c>
      <c r="T160" s="979">
        <f>E160*S160</f>
        <v>5445.5965623900011</v>
      </c>
      <c r="U160" s="992">
        <f>E160*R161</f>
        <v>4737.8249937900018</v>
      </c>
      <c r="V160" s="276">
        <f t="shared" si="0"/>
        <v>12.489482076890779</v>
      </c>
      <c r="W160" s="277">
        <f t="shared" si="1"/>
        <v>7231.410122519761</v>
      </c>
      <c r="X160" s="422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7"/>
    </row>
    <row r="161" spans="1:39" s="210" customFormat="1" ht="21" customHeight="1">
      <c r="A161" s="1060"/>
      <c r="B161" s="969"/>
      <c r="C161" s="1355"/>
      <c r="D161" s="1242"/>
      <c r="E161" s="975"/>
      <c r="F161" s="976">
        <f>F160*$J$13/1000</f>
        <v>0.77121000000000006</v>
      </c>
      <c r="G161" s="977"/>
      <c r="H161" s="978"/>
      <c r="I161" s="976">
        <f>I160*$Q$13/1000</f>
        <v>0.45119340000000008</v>
      </c>
      <c r="J161" s="977"/>
      <c r="K161" s="978"/>
      <c r="L161" s="251" t="s">
        <v>270</v>
      </c>
      <c r="M161" s="246" t="s">
        <v>116</v>
      </c>
      <c r="N161" s="247">
        <v>1</v>
      </c>
      <c r="O161" s="250">
        <f>E160*N161</f>
        <v>579</v>
      </c>
      <c r="P161" s="243">
        <v>7.1</v>
      </c>
      <c r="Q161" s="248">
        <f>N161*P161*$N$11</f>
        <v>8.1827720100000025</v>
      </c>
      <c r="R161" s="549">
        <f>SUM(Q161:Q161)</f>
        <v>8.1827720100000025</v>
      </c>
      <c r="S161" s="980"/>
      <c r="T161" s="980"/>
      <c r="U161" s="993"/>
      <c r="V161" s="276">
        <f t="shared" si="0"/>
        <v>0</v>
      </c>
      <c r="W161" s="277">
        <f t="shared" si="1"/>
        <v>0</v>
      </c>
      <c r="X161" s="422"/>
      <c r="Y161" s="157"/>
      <c r="Z161" s="157"/>
      <c r="AA161" s="157"/>
      <c r="AB161" s="157"/>
      <c r="AC161" s="157"/>
      <c r="AD161" s="157"/>
      <c r="AE161" s="157"/>
      <c r="AF161" s="157"/>
      <c r="AG161" s="157"/>
      <c r="AH161" s="157"/>
      <c r="AI161" s="157"/>
      <c r="AJ161" s="157"/>
      <c r="AK161" s="157"/>
      <c r="AL161" s="157"/>
      <c r="AM161" s="157"/>
    </row>
    <row r="162" spans="1:39" s="210" customFormat="1" ht="21" customHeight="1">
      <c r="A162" s="1058">
        <f t="shared" ref="A162" si="11">+A160+1</f>
        <v>14</v>
      </c>
      <c r="B162" s="968" t="s">
        <v>163</v>
      </c>
      <c r="C162" s="1358" t="s">
        <v>317</v>
      </c>
      <c r="D162" s="972" t="s">
        <v>194</v>
      </c>
      <c r="E162" s="974">
        <v>148</v>
      </c>
      <c r="F162" s="976">
        <v>0.27</v>
      </c>
      <c r="G162" s="977"/>
      <c r="H162" s="978"/>
      <c r="I162" s="976">
        <v>0.17</v>
      </c>
      <c r="J162" s="977"/>
      <c r="K162" s="978"/>
      <c r="L162" s="270"/>
      <c r="M162" s="178"/>
      <c r="N162" s="548"/>
      <c r="O162" s="548"/>
      <c r="P162" s="271"/>
      <c r="Q162" s="554"/>
      <c r="R162" s="552">
        <f>F163+I163</f>
        <v>1.1788677000000001</v>
      </c>
      <c r="S162" s="979">
        <f>R162+R163</f>
        <v>5.1192757989000013</v>
      </c>
      <c r="T162" s="979">
        <f>E162*S162</f>
        <v>757.65281823720022</v>
      </c>
      <c r="U162" s="992">
        <f>E162*R163</f>
        <v>583.18039863720014</v>
      </c>
      <c r="V162" s="276">
        <f t="shared" si="0"/>
        <v>6.7980766492713691</v>
      </c>
      <c r="W162" s="277">
        <f t="shared" si="1"/>
        <v>1006.1153440921627</v>
      </c>
      <c r="X162" s="422"/>
      <c r="Y162" s="157"/>
      <c r="Z162" s="157"/>
      <c r="AA162" s="157"/>
      <c r="AB162" s="157"/>
      <c r="AC162" s="157"/>
      <c r="AD162" s="157"/>
      <c r="AE162" s="157"/>
      <c r="AF162" s="157"/>
      <c r="AG162" s="157"/>
      <c r="AH162" s="157"/>
      <c r="AI162" s="157"/>
      <c r="AJ162" s="157"/>
      <c r="AK162" s="157"/>
      <c r="AL162" s="157"/>
      <c r="AM162" s="157"/>
    </row>
    <row r="163" spans="1:39" s="210" customFormat="1" ht="21" customHeight="1">
      <c r="A163" s="1060"/>
      <c r="B163" s="969"/>
      <c r="C163" s="1359"/>
      <c r="D163" s="973"/>
      <c r="E163" s="975"/>
      <c r="F163" s="976">
        <f>F162*$J$13/1000</f>
        <v>0.63099000000000005</v>
      </c>
      <c r="G163" s="977"/>
      <c r="H163" s="978"/>
      <c r="I163" s="976">
        <f>I162*$Q$13/1000</f>
        <v>0.54787770000000002</v>
      </c>
      <c r="J163" s="977"/>
      <c r="K163" s="978"/>
      <c r="L163" s="251" t="s">
        <v>271</v>
      </c>
      <c r="M163" s="246" t="s">
        <v>116</v>
      </c>
      <c r="N163" s="247">
        <v>1</v>
      </c>
      <c r="O163" s="250">
        <f>E162*N163</f>
        <v>148</v>
      </c>
      <c r="P163" s="243">
        <v>3.419</v>
      </c>
      <c r="Q163" s="248">
        <f>N163*P163*$N$11</f>
        <v>3.9404080989000012</v>
      </c>
      <c r="R163" s="549">
        <f>SUM(Q163:Q163)</f>
        <v>3.9404080989000012</v>
      </c>
      <c r="S163" s="980"/>
      <c r="T163" s="980"/>
      <c r="U163" s="993"/>
      <c r="V163" s="276">
        <f t="shared" si="0"/>
        <v>0</v>
      </c>
      <c r="W163" s="277">
        <f t="shared" si="1"/>
        <v>0</v>
      </c>
      <c r="X163" s="422"/>
      <c r="Y163" s="157"/>
      <c r="Z163" s="157"/>
      <c r="AA163" s="157"/>
      <c r="AB163" s="157"/>
      <c r="AC163" s="157"/>
      <c r="AD163" s="157"/>
      <c r="AE163" s="157"/>
      <c r="AF163" s="157"/>
      <c r="AG163" s="157"/>
      <c r="AH163" s="157"/>
      <c r="AI163" s="157"/>
      <c r="AJ163" s="157"/>
      <c r="AK163" s="157"/>
      <c r="AL163" s="157"/>
      <c r="AM163" s="157"/>
    </row>
    <row r="164" spans="1:39" s="535" customFormat="1" ht="16.5" customHeight="1">
      <c r="A164" s="1356">
        <f t="shared" ref="A164" si="12">+A162+1</f>
        <v>15</v>
      </c>
      <c r="B164" s="1027" t="s">
        <v>272</v>
      </c>
      <c r="C164" s="970" t="s">
        <v>318</v>
      </c>
      <c r="D164" s="972" t="s">
        <v>197</v>
      </c>
      <c r="E164" s="1005">
        <v>2</v>
      </c>
      <c r="F164" s="1007">
        <v>0.44</v>
      </c>
      <c r="G164" s="1008"/>
      <c r="H164" s="1009"/>
      <c r="I164" s="1007">
        <v>0.6</v>
      </c>
      <c r="J164" s="1008"/>
      <c r="K164" s="1009"/>
      <c r="L164" s="529"/>
      <c r="M164" s="530"/>
      <c r="N164" s="531"/>
      <c r="O164" s="531"/>
      <c r="P164" s="532"/>
      <c r="Q164" s="533"/>
      <c r="R164" s="534">
        <f>F165+I165</f>
        <v>2.9619660000000003</v>
      </c>
      <c r="S164" s="1010">
        <f>R164+R165</f>
        <v>12.758242350000003</v>
      </c>
      <c r="T164" s="1010">
        <f>E164*S164</f>
        <v>25.516484700000007</v>
      </c>
      <c r="U164" s="1012">
        <f>+R165*E164</f>
        <v>19.592552700000006</v>
      </c>
      <c r="V164" s="276">
        <f t="shared" si="0"/>
        <v>16.94214432125662</v>
      </c>
      <c r="W164" s="277">
        <f t="shared" si="1"/>
        <v>33.884288642513241</v>
      </c>
      <c r="X164" s="422"/>
    </row>
    <row r="165" spans="1:39" s="535" customFormat="1" ht="16.5" customHeight="1">
      <c r="A165" s="1357"/>
      <c r="B165" s="1028"/>
      <c r="C165" s="996"/>
      <c r="D165" s="997"/>
      <c r="E165" s="1006"/>
      <c r="F165" s="1007">
        <f>F164*$J$13/1000</f>
        <v>1.0282800000000001</v>
      </c>
      <c r="G165" s="1008"/>
      <c r="H165" s="1009"/>
      <c r="I165" s="1007">
        <f>I164*$Q$13/1000</f>
        <v>1.933686</v>
      </c>
      <c r="J165" s="1008"/>
      <c r="K165" s="1009"/>
      <c r="L165" s="536" t="s">
        <v>273</v>
      </c>
      <c r="M165" s="537" t="s">
        <v>164</v>
      </c>
      <c r="N165" s="538">
        <v>1</v>
      </c>
      <c r="O165" s="539">
        <f>E164*N165</f>
        <v>2</v>
      </c>
      <c r="P165" s="470">
        <v>8.5</v>
      </c>
      <c r="Q165" s="540">
        <f>N165*P165*$N$11</f>
        <v>9.796276350000003</v>
      </c>
      <c r="R165" s="541">
        <f>+Q165</f>
        <v>9.796276350000003</v>
      </c>
      <c r="S165" s="1011"/>
      <c r="T165" s="1011"/>
      <c r="U165" s="1013"/>
      <c r="V165" s="276">
        <f t="shared" si="0"/>
        <v>0</v>
      </c>
      <c r="W165" s="277">
        <f t="shared" si="1"/>
        <v>0</v>
      </c>
      <c r="X165" s="422"/>
    </row>
    <row r="166" spans="1:39" s="210" customFormat="1" ht="16.5" customHeight="1">
      <c r="A166" s="1360">
        <f t="shared" ref="A166" si="13">+A164+1</f>
        <v>16</v>
      </c>
      <c r="B166" s="968" t="s">
        <v>274</v>
      </c>
      <c r="C166" s="970" t="s">
        <v>319</v>
      </c>
      <c r="D166" s="972" t="s">
        <v>197</v>
      </c>
      <c r="E166" s="974">
        <v>1</v>
      </c>
      <c r="F166" s="1017">
        <v>1.74</v>
      </c>
      <c r="G166" s="1018"/>
      <c r="H166" s="1016"/>
      <c r="I166" s="1017">
        <v>1.23</v>
      </c>
      <c r="J166" s="1018"/>
      <c r="K166" s="1016"/>
      <c r="L166" s="339"/>
      <c r="M166" s="178"/>
      <c r="N166" s="542"/>
      <c r="O166" s="542"/>
      <c r="P166" s="469"/>
      <c r="Q166" s="547"/>
      <c r="R166" s="552">
        <f>F167+I167</f>
        <v>8.0304362999999999</v>
      </c>
      <c r="S166" s="979">
        <f>R166+R167</f>
        <v>331.07359772070015</v>
      </c>
      <c r="T166" s="979">
        <f>E166*S166</f>
        <v>331.07359772070015</v>
      </c>
      <c r="U166" s="1016">
        <f>R167*E166</f>
        <v>323.04316142070013</v>
      </c>
      <c r="V166" s="468">
        <f>+$V$14*(S166-P167)</f>
        <v>67.428131801124721</v>
      </c>
      <c r="W166" s="277">
        <f t="shared" si="1"/>
        <v>67.428131801124721</v>
      </c>
      <c r="X166" s="422"/>
    </row>
    <row r="167" spans="1:39" s="210" customFormat="1" ht="16.5" customHeight="1">
      <c r="A167" s="1361"/>
      <c r="B167" s="969"/>
      <c r="C167" s="996"/>
      <c r="D167" s="997"/>
      <c r="E167" s="975"/>
      <c r="F167" s="976">
        <f>F166*$J$13/1000</f>
        <v>4.0663800000000005</v>
      </c>
      <c r="G167" s="977"/>
      <c r="H167" s="978"/>
      <c r="I167" s="976">
        <f>I166*$Q$13/1000</f>
        <v>3.9640562999999998</v>
      </c>
      <c r="J167" s="977"/>
      <c r="K167" s="978"/>
      <c r="L167" s="543" t="s">
        <v>275</v>
      </c>
      <c r="M167" s="246" t="s">
        <v>164</v>
      </c>
      <c r="N167" s="544">
        <v>1</v>
      </c>
      <c r="O167" s="545">
        <f>E166*N167</f>
        <v>1</v>
      </c>
      <c r="P167" s="243">
        <f>280.297</f>
        <v>280.29700000000003</v>
      </c>
      <c r="Q167" s="248">
        <f>N167*P167*$N$11</f>
        <v>323.04316142070013</v>
      </c>
      <c r="R167" s="552">
        <f>SUM(Q167:Q167)</f>
        <v>323.04316142070013</v>
      </c>
      <c r="S167" s="980"/>
      <c r="T167" s="980"/>
      <c r="U167" s="987"/>
      <c r="V167" s="276">
        <f t="shared" si="0"/>
        <v>0</v>
      </c>
      <c r="W167" s="277">
        <f t="shared" si="1"/>
        <v>0</v>
      </c>
      <c r="X167" s="422"/>
    </row>
    <row r="168" spans="1:39" s="157" customFormat="1" ht="17.25" customHeight="1">
      <c r="A168" s="1324">
        <f>+A162+1</f>
        <v>15</v>
      </c>
      <c r="B168" s="968" t="s">
        <v>148</v>
      </c>
      <c r="C168" s="970" t="s">
        <v>198</v>
      </c>
      <c r="D168" s="972" t="s">
        <v>199</v>
      </c>
      <c r="E168" s="990">
        <f>3.2+254.6+9+8.6+0.9+1.2</f>
        <v>277.5</v>
      </c>
      <c r="F168" s="1053">
        <f>0.001*190</f>
        <v>0.19</v>
      </c>
      <c r="G168" s="1054"/>
      <c r="H168" s="1055"/>
      <c r="I168" s="1053">
        <f>0.001*162</f>
        <v>0.16200000000000001</v>
      </c>
      <c r="J168" s="1054"/>
      <c r="K168" s="1055"/>
      <c r="L168" s="339"/>
      <c r="M168" s="178"/>
      <c r="N168" s="548"/>
      <c r="O168" s="548"/>
      <c r="P168" s="548"/>
      <c r="Q168" s="547"/>
      <c r="R168" s="552">
        <f>F169+I169</f>
        <v>0.96612522000000012</v>
      </c>
      <c r="S168" s="979">
        <f>R168+R169</f>
        <v>2.3491289400000004</v>
      </c>
      <c r="T168" s="979">
        <f>E168*S168</f>
        <v>651.88328085000012</v>
      </c>
      <c r="U168" s="1048">
        <f>R169*E168</f>
        <v>383.78353230000005</v>
      </c>
      <c r="V168" s="276">
        <f t="shared" si="0"/>
        <v>3.1194956514304324</v>
      </c>
      <c r="W168" s="277">
        <f t="shared" si="1"/>
        <v>865.66004327194503</v>
      </c>
      <c r="X168" s="422"/>
      <c r="Y168" s="242"/>
    </row>
    <row r="169" spans="1:39" s="157" customFormat="1" ht="17.25" customHeight="1">
      <c r="A169" s="1325"/>
      <c r="B169" s="969"/>
      <c r="C169" s="971"/>
      <c r="D169" s="973"/>
      <c r="E169" s="991"/>
      <c r="F169" s="976">
        <f>F168*J$13/1000</f>
        <v>0.44403000000000004</v>
      </c>
      <c r="G169" s="977"/>
      <c r="H169" s="978"/>
      <c r="I169" s="976">
        <f>I168*$Q$13/1000</f>
        <v>0.52209522000000008</v>
      </c>
      <c r="J169" s="977"/>
      <c r="K169" s="978"/>
      <c r="L169" s="340" t="s">
        <v>149</v>
      </c>
      <c r="M169" s="246" t="s">
        <v>124</v>
      </c>
      <c r="N169" s="341">
        <v>1</v>
      </c>
      <c r="O169" s="250">
        <f>E168*N169</f>
        <v>277.5</v>
      </c>
      <c r="P169" s="243">
        <v>1.2</v>
      </c>
      <c r="Q169" s="248">
        <f>N169*P169*$N$11</f>
        <v>1.3830037200000003</v>
      </c>
      <c r="R169" s="552">
        <f>SUM(Q169:Q169)</f>
        <v>1.3830037200000003</v>
      </c>
      <c r="S169" s="980"/>
      <c r="T169" s="980"/>
      <c r="U169" s="1049"/>
      <c r="V169" s="276">
        <f t="shared" si="0"/>
        <v>0</v>
      </c>
      <c r="W169" s="277">
        <f t="shared" si="1"/>
        <v>0</v>
      </c>
      <c r="X169" s="422"/>
      <c r="Y169" s="242"/>
    </row>
    <row r="170" spans="1:39" s="416" customFormat="1" ht="15" customHeight="1">
      <c r="A170" s="1339">
        <f>+A168+1</f>
        <v>16</v>
      </c>
      <c r="B170" s="1340" t="s">
        <v>276</v>
      </c>
      <c r="C170" s="1341" t="s">
        <v>320</v>
      </c>
      <c r="D170" s="1242" t="s">
        <v>197</v>
      </c>
      <c r="E170" s="1342">
        <v>1</v>
      </c>
      <c r="F170" s="1094">
        <f>0.6*0.33*11</f>
        <v>2.1779999999999999</v>
      </c>
      <c r="G170" s="1094"/>
      <c r="H170" s="1094"/>
      <c r="I170" s="1094">
        <f>0.6*0.14*11</f>
        <v>0.92400000000000004</v>
      </c>
      <c r="J170" s="1094"/>
      <c r="K170" s="1094"/>
      <c r="L170" s="269"/>
      <c r="M170" s="178"/>
      <c r="N170" s="548"/>
      <c r="O170" s="548"/>
      <c r="P170" s="548"/>
      <c r="Q170" s="547"/>
      <c r="R170" s="551">
        <f>F171+I171</f>
        <v>8.067862439999999</v>
      </c>
      <c r="S170" s="1070">
        <f>R170+R171</f>
        <v>9.6003496050706474</v>
      </c>
      <c r="T170" s="1070">
        <f>E170*S170</f>
        <v>9.6003496050706474</v>
      </c>
      <c r="U170" s="1070">
        <f>R171*E170</f>
        <v>1.532487165070648</v>
      </c>
      <c r="V170" s="276">
        <f t="shared" si="0"/>
        <v>12.748661146386349</v>
      </c>
      <c r="W170" s="277">
        <f t="shared" si="1"/>
        <v>12.748661146386349</v>
      </c>
      <c r="X170" s="422"/>
      <c r="Y170" s="157"/>
      <c r="Z170" s="159"/>
      <c r="AA170" s="159"/>
      <c r="AB170" s="159"/>
      <c r="AC170" s="159"/>
      <c r="AD170" s="159"/>
      <c r="AE170" s="159"/>
      <c r="AF170" s="159"/>
      <c r="AG170" s="159"/>
      <c r="AH170" s="159"/>
      <c r="AI170" s="159"/>
      <c r="AJ170" s="159"/>
      <c r="AK170" s="159"/>
      <c r="AL170" s="159"/>
    </row>
    <row r="171" spans="1:39" s="416" customFormat="1" ht="15" customHeight="1">
      <c r="A171" s="1339"/>
      <c r="B171" s="1340"/>
      <c r="C171" s="1341"/>
      <c r="D171" s="1242"/>
      <c r="E171" s="1342"/>
      <c r="F171" s="1070">
        <f>F170*J$13/1000</f>
        <v>5.0899859999999997</v>
      </c>
      <c r="G171" s="1070"/>
      <c r="H171" s="1070"/>
      <c r="I171" s="1070">
        <f>I170*$Q$13/1000</f>
        <v>2.9778764400000002</v>
      </c>
      <c r="J171" s="1070"/>
      <c r="K171" s="1070"/>
      <c r="L171" s="345" t="s">
        <v>239</v>
      </c>
      <c r="M171" s="253" t="s">
        <v>184</v>
      </c>
      <c r="N171" s="268">
        <f>0.133*3.14*115.05/1000</f>
        <v>4.8047181000000001E-2</v>
      </c>
      <c r="O171" s="343">
        <f>E170*N171</f>
        <v>4.8047181000000001E-2</v>
      </c>
      <c r="P171" s="239">
        <v>0.45800000000000002</v>
      </c>
      <c r="Q171" s="236">
        <f>N171*P171*$N$11</f>
        <v>2.5361532472332592E-2</v>
      </c>
      <c r="R171" s="1070">
        <f>SUM(Q171:Q172)</f>
        <v>1.532487165070648</v>
      </c>
      <c r="S171" s="1070"/>
      <c r="T171" s="1070"/>
      <c r="U171" s="1070"/>
      <c r="V171" s="276">
        <f t="shared" si="0"/>
        <v>0</v>
      </c>
      <c r="W171" s="277">
        <f t="shared" si="1"/>
        <v>0</v>
      </c>
      <c r="X171" s="422"/>
      <c r="Y171" s="157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59"/>
    </row>
    <row r="172" spans="1:39" s="416" customFormat="1" ht="15" customHeight="1">
      <c r="A172" s="1339"/>
      <c r="B172" s="1340"/>
      <c r="C172" s="1341"/>
      <c r="D172" s="1242"/>
      <c r="E172" s="1342"/>
      <c r="F172" s="1070"/>
      <c r="G172" s="1070"/>
      <c r="H172" s="1070"/>
      <c r="I172" s="1070"/>
      <c r="J172" s="1070"/>
      <c r="K172" s="1070"/>
      <c r="L172" s="346" t="s">
        <v>264</v>
      </c>
      <c r="M172" s="257" t="s">
        <v>265</v>
      </c>
      <c r="N172" s="258">
        <f>0.133*3.14*14.43</f>
        <v>6.0262566000000009</v>
      </c>
      <c r="O172" s="259">
        <f>E170*N172</f>
        <v>6.0262566000000009</v>
      </c>
      <c r="P172" s="358">
        <v>0.217</v>
      </c>
      <c r="Q172" s="347">
        <f>N172*P172*$N$11</f>
        <v>1.5071256325983153</v>
      </c>
      <c r="R172" s="1070"/>
      <c r="S172" s="1070"/>
      <c r="T172" s="1070"/>
      <c r="U172" s="1070"/>
      <c r="V172" s="276">
        <f t="shared" si="0"/>
        <v>0</v>
      </c>
      <c r="W172" s="277">
        <f t="shared" si="1"/>
        <v>0</v>
      </c>
      <c r="X172" s="422"/>
      <c r="Y172" s="157"/>
      <c r="Z172" s="159"/>
      <c r="AA172" s="159"/>
      <c r="AB172" s="159"/>
      <c r="AC172" s="159"/>
      <c r="AD172" s="159"/>
      <c r="AE172" s="159"/>
      <c r="AF172" s="159"/>
      <c r="AG172" s="159"/>
      <c r="AH172" s="159"/>
      <c r="AI172" s="159"/>
      <c r="AJ172" s="159"/>
      <c r="AK172" s="159"/>
      <c r="AL172" s="159"/>
    </row>
    <row r="173" spans="1:39" s="156" customFormat="1" ht="12.75" customHeight="1">
      <c r="A173" s="1058">
        <f>+A170+1</f>
        <v>17</v>
      </c>
      <c r="B173" s="968" t="s">
        <v>125</v>
      </c>
      <c r="C173" s="970" t="s">
        <v>196</v>
      </c>
      <c r="D173" s="972" t="s">
        <v>194</v>
      </c>
      <c r="E173" s="990">
        <v>540</v>
      </c>
      <c r="F173" s="999">
        <f>0.001*5</f>
        <v>5.0000000000000001E-3</v>
      </c>
      <c r="G173" s="1000"/>
      <c r="H173" s="1001"/>
      <c r="I173" s="976">
        <f>0.001*20</f>
        <v>0.02</v>
      </c>
      <c r="J173" s="977"/>
      <c r="K173" s="978"/>
      <c r="L173" s="339"/>
      <c r="M173" s="178"/>
      <c r="N173" s="548"/>
      <c r="O173" s="548"/>
      <c r="P173" s="548"/>
      <c r="Q173" s="547"/>
      <c r="R173" s="552">
        <f>F174+I174</f>
        <v>7.6141199999999992E-2</v>
      </c>
      <c r="S173" s="979">
        <f>R173+R174</f>
        <v>0.1068623226336</v>
      </c>
      <c r="T173" s="979">
        <f>E173*S173</f>
        <v>57.705654222143998</v>
      </c>
      <c r="U173" s="1048">
        <f>R174*E173</f>
        <v>16.589406222144007</v>
      </c>
      <c r="V173" s="276">
        <f t="shared" si="0"/>
        <v>0.14190645097466256</v>
      </c>
      <c r="W173" s="277">
        <f t="shared" si="1"/>
        <v>76.629483526317784</v>
      </c>
      <c r="X173" s="422"/>
    </row>
    <row r="174" spans="1:39" s="156" customFormat="1" ht="12.75" customHeight="1">
      <c r="A174" s="1060"/>
      <c r="B174" s="969"/>
      <c r="C174" s="971"/>
      <c r="D174" s="973"/>
      <c r="E174" s="991"/>
      <c r="F174" s="999">
        <f>F173*J$13/1000</f>
        <v>1.1685000000000001E-2</v>
      </c>
      <c r="G174" s="1000"/>
      <c r="H174" s="1001"/>
      <c r="I174" s="999">
        <f>I173*$Q$13/1000</f>
        <v>6.4456199999999991E-2</v>
      </c>
      <c r="J174" s="1000"/>
      <c r="K174" s="1001"/>
      <c r="L174" s="340" t="s">
        <v>83</v>
      </c>
      <c r="M174" s="246" t="s">
        <v>126</v>
      </c>
      <c r="N174" s="247">
        <v>1E-3</v>
      </c>
      <c r="O174" s="250">
        <f>E173*N174</f>
        <v>0.54</v>
      </c>
      <c r="P174" s="243">
        <v>26.655999999999999</v>
      </c>
      <c r="Q174" s="248">
        <f>N174*P174*$N$11</f>
        <v>3.0721122633600009E-2</v>
      </c>
      <c r="R174" s="549">
        <f>Q174</f>
        <v>3.0721122633600009E-2</v>
      </c>
      <c r="S174" s="980"/>
      <c r="T174" s="980"/>
      <c r="U174" s="1049"/>
      <c r="V174" s="276">
        <f t="shared" si="0"/>
        <v>0</v>
      </c>
      <c r="W174" s="277">
        <f t="shared" si="1"/>
        <v>0</v>
      </c>
      <c r="X174" s="422"/>
    </row>
    <row r="175" spans="1:39" s="431" customFormat="1" ht="15" customHeight="1">
      <c r="A175" s="507"/>
      <c r="C175" s="560" t="s">
        <v>221</v>
      </c>
      <c r="D175" s="427"/>
      <c r="E175" s="428">
        <v>1</v>
      </c>
      <c r="F175" s="1328" t="s">
        <v>210</v>
      </c>
      <c r="G175" s="1328"/>
      <c r="H175" s="1328"/>
      <c r="I175" s="1328"/>
      <c r="J175" s="1328"/>
      <c r="K175" s="1328"/>
      <c r="L175" s="1328"/>
      <c r="M175" s="429"/>
      <c r="N175" s="429"/>
      <c r="O175" s="429"/>
      <c r="P175" s="428"/>
      <c r="Q175" s="428"/>
      <c r="R175" s="428"/>
      <c r="S175" s="428"/>
      <c r="T175" s="428"/>
      <c r="U175" s="430">
        <f>+E175</f>
        <v>1</v>
      </c>
      <c r="V175" s="276">
        <f t="shared" si="0"/>
        <v>0</v>
      </c>
      <c r="W175" s="277">
        <f t="shared" si="1"/>
        <v>0</v>
      </c>
      <c r="X175" s="422"/>
    </row>
    <row r="176" spans="1:39" s="436" customFormat="1" ht="12.75">
      <c r="A176" s="1329">
        <v>1</v>
      </c>
      <c r="B176" s="1331" t="s">
        <v>211</v>
      </c>
      <c r="C176" s="1279" t="s">
        <v>200</v>
      </c>
      <c r="D176" s="1333" t="s">
        <v>201</v>
      </c>
      <c r="E176" s="1226">
        <f>2.5*E175</f>
        <v>2.5</v>
      </c>
      <c r="F176" s="1335">
        <f>0.01*194</f>
        <v>1.94</v>
      </c>
      <c r="G176" s="1335"/>
      <c r="H176" s="1335"/>
      <c r="I176" s="1336">
        <v>0</v>
      </c>
      <c r="J176" s="1336"/>
      <c r="K176" s="1336"/>
      <c r="L176" s="432"/>
      <c r="M176" s="433"/>
      <c r="N176" s="433"/>
      <c r="O176" s="433"/>
      <c r="P176" s="434"/>
      <c r="Q176" s="435"/>
      <c r="R176" s="1337">
        <f>F177+I177</f>
        <v>4.5337800000000001</v>
      </c>
      <c r="S176" s="1337">
        <f>R176+R177</f>
        <v>4.5337800000000001</v>
      </c>
      <c r="T176" s="1337">
        <f>E176*S176</f>
        <v>11.33445</v>
      </c>
      <c r="U176" s="1343"/>
      <c r="V176" s="276">
        <f t="shared" si="0"/>
        <v>6.0205750113240972</v>
      </c>
      <c r="W176" s="277">
        <f t="shared" si="1"/>
        <v>15.051437528310244</v>
      </c>
      <c r="X176" s="422"/>
    </row>
    <row r="177" spans="1:25" s="436" customFormat="1" ht="12.75">
      <c r="A177" s="1330"/>
      <c r="B177" s="1332"/>
      <c r="C177" s="1279"/>
      <c r="D177" s="1334"/>
      <c r="E177" s="1227"/>
      <c r="F177" s="1335">
        <f>F176*$J$13/1000</f>
        <v>4.5337800000000001</v>
      </c>
      <c r="G177" s="1335"/>
      <c r="H177" s="1335"/>
      <c r="I177" s="1336">
        <f>I176*$Q$13/1000</f>
        <v>0</v>
      </c>
      <c r="J177" s="1336"/>
      <c r="K177" s="1336"/>
      <c r="L177" s="437"/>
      <c r="M177" s="438"/>
      <c r="N177" s="438"/>
      <c r="O177" s="438" t="s">
        <v>20</v>
      </c>
      <c r="P177" s="439"/>
      <c r="Q177" s="440"/>
      <c r="R177" s="1338"/>
      <c r="S177" s="1338"/>
      <c r="T177" s="1338"/>
      <c r="U177" s="1344"/>
      <c r="V177" s="276">
        <f t="shared" si="0"/>
        <v>0</v>
      </c>
      <c r="W177" s="277">
        <f t="shared" si="1"/>
        <v>0</v>
      </c>
      <c r="X177" s="422"/>
    </row>
    <row r="178" spans="1:25" s="436" customFormat="1" ht="12.75">
      <c r="A178" s="1329">
        <f>+A176+1</f>
        <v>2</v>
      </c>
      <c r="B178" s="1331" t="s">
        <v>212</v>
      </c>
      <c r="C178" s="1296" t="s">
        <v>222</v>
      </c>
      <c r="D178" s="1333" t="s">
        <v>201</v>
      </c>
      <c r="E178" s="1226">
        <f>+E176</f>
        <v>2.5</v>
      </c>
      <c r="F178" s="1335">
        <f>0.01*66.4</f>
        <v>0.66400000000000003</v>
      </c>
      <c r="G178" s="1335"/>
      <c r="H178" s="1335"/>
      <c r="I178" s="1345"/>
      <c r="J178" s="1345"/>
      <c r="K178" s="1345"/>
      <c r="L178" s="441"/>
      <c r="M178" s="442"/>
      <c r="N178" s="443"/>
      <c r="O178" s="443"/>
      <c r="P178" s="444"/>
      <c r="Q178" s="445"/>
      <c r="R178" s="1337">
        <f>F179+I179</f>
        <v>1.551768</v>
      </c>
      <c r="S178" s="1337">
        <f>R178+R179</f>
        <v>1.551768</v>
      </c>
      <c r="T178" s="1337">
        <f>E178*S178</f>
        <v>3.8794200000000001</v>
      </c>
      <c r="U178" s="446"/>
      <c r="V178" s="276">
        <f t="shared" si="0"/>
        <v>2.0606504162470105</v>
      </c>
      <c r="W178" s="277">
        <f t="shared" si="1"/>
        <v>5.1516260406175265</v>
      </c>
      <c r="X178" s="422"/>
    </row>
    <row r="179" spans="1:25" s="436" customFormat="1" ht="10.5" customHeight="1">
      <c r="A179" s="1330"/>
      <c r="B179" s="1332"/>
      <c r="C179" s="1297"/>
      <c r="D179" s="1334"/>
      <c r="E179" s="1227"/>
      <c r="F179" s="1335">
        <f>F178*$J$13/1000</f>
        <v>1.551768</v>
      </c>
      <c r="G179" s="1335"/>
      <c r="H179" s="1335"/>
      <c r="I179" s="1346"/>
      <c r="J179" s="1346"/>
      <c r="K179" s="1346"/>
      <c r="L179" s="437"/>
      <c r="M179" s="447"/>
      <c r="N179" s="448"/>
      <c r="O179" s="448"/>
      <c r="P179" s="439"/>
      <c r="Q179" s="449"/>
      <c r="R179" s="1338"/>
      <c r="S179" s="1338"/>
      <c r="T179" s="1338"/>
      <c r="U179" s="450"/>
      <c r="V179" s="276">
        <f t="shared" si="0"/>
        <v>0</v>
      </c>
      <c r="W179" s="277">
        <f t="shared" si="1"/>
        <v>0</v>
      </c>
      <c r="X179" s="422"/>
    </row>
    <row r="180" spans="1:25" s="157" customFormat="1" ht="12">
      <c r="A180" s="1058">
        <f>+A178+1</f>
        <v>3</v>
      </c>
      <c r="B180" s="968" t="s">
        <v>213</v>
      </c>
      <c r="C180" s="988" t="s">
        <v>223</v>
      </c>
      <c r="D180" s="972" t="s">
        <v>199</v>
      </c>
      <c r="E180" s="990">
        <f>+((0.4*2.51)+(1.5*3.77)+(7*0.4)+(8*0.22)+(1.5*0.04))*E175</f>
        <v>11.279000000000002</v>
      </c>
      <c r="F180" s="1308">
        <f>36.1/1000</f>
        <v>3.61E-2</v>
      </c>
      <c r="G180" s="1309"/>
      <c r="H180" s="1310"/>
      <c r="I180" s="999">
        <v>5.7000000000000002E-2</v>
      </c>
      <c r="J180" s="1000"/>
      <c r="K180" s="1001"/>
      <c r="L180" s="420"/>
      <c r="M180" s="178"/>
      <c r="N180" s="548"/>
      <c r="O180" s="548"/>
      <c r="P180" s="548"/>
      <c r="Q180" s="547"/>
      <c r="R180" s="552">
        <f>F181+I181</f>
        <v>0.26806587000000004</v>
      </c>
      <c r="S180" s="979">
        <f>R180+R181+R182+R183</f>
        <v>0.91280676072246025</v>
      </c>
      <c r="T180" s="979">
        <f>E180*S180</f>
        <v>10.295547454188631</v>
      </c>
      <c r="U180" s="1048">
        <f>E180*Q181</f>
        <v>7.1494953556950041</v>
      </c>
      <c r="V180" s="276">
        <f t="shared" si="0"/>
        <v>1.2121500323732819</v>
      </c>
      <c r="W180" s="277">
        <f t="shared" si="1"/>
        <v>13.671840215138248</v>
      </c>
      <c r="X180" s="422"/>
      <c r="Y180" s="242"/>
    </row>
    <row r="181" spans="1:25" s="157" customFormat="1" ht="13.5" customHeight="1">
      <c r="A181" s="1059"/>
      <c r="B181" s="995"/>
      <c r="C181" s="1020"/>
      <c r="D181" s="997"/>
      <c r="E181" s="998"/>
      <c r="F181" s="1017">
        <f>F180*$J$13/1000</f>
        <v>8.4365700000000002E-2</v>
      </c>
      <c r="G181" s="1018"/>
      <c r="H181" s="1016"/>
      <c r="I181" s="1017">
        <f>I180*$Q$13/1000</f>
        <v>0.18370017000000002</v>
      </c>
      <c r="J181" s="1018"/>
      <c r="K181" s="1016"/>
      <c r="L181" s="252" t="s">
        <v>208</v>
      </c>
      <c r="M181" s="253" t="s">
        <v>124</v>
      </c>
      <c r="N181" s="267">
        <v>1</v>
      </c>
      <c r="O181" s="343">
        <f>E180*N181</f>
        <v>11.279000000000002</v>
      </c>
      <c r="P181" s="243">
        <v>0.55000000000000004</v>
      </c>
      <c r="Q181" s="248">
        <f>N181*P181*$N$11</f>
        <v>0.63387670500000026</v>
      </c>
      <c r="R181" s="979">
        <f>SUM(Q181:Q183)</f>
        <v>0.64474089072246021</v>
      </c>
      <c r="S181" s="1002"/>
      <c r="T181" s="1002"/>
      <c r="U181" s="1251"/>
      <c r="V181" s="276">
        <f t="shared" si="0"/>
        <v>0</v>
      </c>
      <c r="W181" s="277">
        <f t="shared" si="1"/>
        <v>0</v>
      </c>
      <c r="X181" s="422"/>
      <c r="Y181" s="242"/>
    </row>
    <row r="182" spans="1:25" s="157" customFormat="1" ht="12">
      <c r="A182" s="1059"/>
      <c r="B182" s="995"/>
      <c r="C182" s="1020"/>
      <c r="D182" s="997"/>
      <c r="E182" s="998"/>
      <c r="F182" s="1021"/>
      <c r="G182" s="1022"/>
      <c r="H182" s="1023"/>
      <c r="I182" s="1021"/>
      <c r="J182" s="1022"/>
      <c r="K182" s="1023"/>
      <c r="L182" s="340" t="s">
        <v>190</v>
      </c>
      <c r="M182" s="246" t="s">
        <v>124</v>
      </c>
      <c r="N182" s="243">
        <v>4.0000000000000001E-3</v>
      </c>
      <c r="O182" s="250">
        <f>E180*N182</f>
        <v>4.511600000000001E-2</v>
      </c>
      <c r="P182" s="451">
        <v>0.89400000000000002</v>
      </c>
      <c r="Q182" s="452">
        <f>N182*P182*$N$11</f>
        <v>4.1213510856000016E-3</v>
      </c>
      <c r="R182" s="1002"/>
      <c r="S182" s="1002"/>
      <c r="T182" s="1002"/>
      <c r="U182" s="1251"/>
      <c r="V182" s="276">
        <f t="shared" si="0"/>
        <v>0</v>
      </c>
      <c r="W182" s="277">
        <f t="shared" si="1"/>
        <v>0</v>
      </c>
      <c r="X182" s="422"/>
      <c r="Y182" s="242"/>
    </row>
    <row r="183" spans="1:25" s="157" customFormat="1" ht="12">
      <c r="A183" s="1060"/>
      <c r="B183" s="969"/>
      <c r="C183" s="989"/>
      <c r="D183" s="973"/>
      <c r="E183" s="991"/>
      <c r="F183" s="985"/>
      <c r="G183" s="986"/>
      <c r="H183" s="987"/>
      <c r="I183" s="985"/>
      <c r="J183" s="986"/>
      <c r="K183" s="987"/>
      <c r="L183" s="453" t="s">
        <v>214</v>
      </c>
      <c r="M183" s="246" t="s">
        <v>124</v>
      </c>
      <c r="N183" s="454">
        <v>4.8999999999999998E-3</v>
      </c>
      <c r="O183" s="264">
        <f>E180*N183</f>
        <v>5.5267100000000006E-2</v>
      </c>
      <c r="P183" s="455">
        <v>1.194</v>
      </c>
      <c r="Q183" s="456">
        <f>N183*P183*$N$11</f>
        <v>6.742834636860001E-3</v>
      </c>
      <c r="R183" s="980"/>
      <c r="S183" s="980"/>
      <c r="T183" s="980"/>
      <c r="U183" s="1049"/>
      <c r="V183" s="276">
        <f t="shared" si="0"/>
        <v>0</v>
      </c>
      <c r="W183" s="277">
        <f t="shared" si="1"/>
        <v>0</v>
      </c>
      <c r="X183" s="422"/>
      <c r="Y183" s="242"/>
    </row>
    <row r="184" spans="1:25" s="401" customFormat="1" ht="12">
      <c r="A184" s="1058">
        <f>+A180+1</f>
        <v>4</v>
      </c>
      <c r="B184" s="968" t="s">
        <v>215</v>
      </c>
      <c r="C184" s="1347" t="s">
        <v>224</v>
      </c>
      <c r="D184" s="972" t="s">
        <v>197</v>
      </c>
      <c r="E184" s="974">
        <f>7*E175</f>
        <v>7</v>
      </c>
      <c r="F184" s="976">
        <v>0.23</v>
      </c>
      <c r="G184" s="977"/>
      <c r="H184" s="978"/>
      <c r="I184" s="976">
        <v>0.01</v>
      </c>
      <c r="J184" s="977"/>
      <c r="K184" s="978"/>
      <c r="L184" s="420"/>
      <c r="M184" s="178"/>
      <c r="N184" s="548"/>
      <c r="O184" s="548"/>
      <c r="P184" s="561"/>
      <c r="Q184" s="554"/>
      <c r="R184" s="552">
        <f>F185+I185</f>
        <v>0.56973810000000003</v>
      </c>
      <c r="S184" s="979">
        <f>R184+R185</f>
        <v>5.756002050000002</v>
      </c>
      <c r="T184" s="979">
        <f>E184*S184</f>
        <v>40.292014350000017</v>
      </c>
      <c r="U184" s="1048">
        <f>E184*Q185</f>
        <v>36.303847650000009</v>
      </c>
      <c r="V184" s="276">
        <f t="shared" si="0"/>
        <v>7.6436091092554745</v>
      </c>
      <c r="W184" s="277">
        <f t="shared" si="1"/>
        <v>53.505263764788324</v>
      </c>
      <c r="X184" s="422"/>
      <c r="Y184" s="457"/>
    </row>
    <row r="185" spans="1:25" s="401" customFormat="1" ht="12">
      <c r="A185" s="1060"/>
      <c r="B185" s="969"/>
      <c r="C185" s="1347"/>
      <c r="D185" s="973"/>
      <c r="E185" s="975"/>
      <c r="F185" s="985">
        <f>F184*$J$13/1000</f>
        <v>0.53751000000000004</v>
      </c>
      <c r="G185" s="986"/>
      <c r="H185" s="987"/>
      <c r="I185" s="985">
        <f>I184*$Q$13/1000</f>
        <v>3.2228099999999996E-2</v>
      </c>
      <c r="J185" s="986"/>
      <c r="K185" s="987"/>
      <c r="L185" s="340" t="s">
        <v>216</v>
      </c>
      <c r="M185" s="246" t="s">
        <v>164</v>
      </c>
      <c r="N185" s="247">
        <v>1</v>
      </c>
      <c r="O185" s="250">
        <f>E184*N185</f>
        <v>7</v>
      </c>
      <c r="P185" s="341">
        <v>4.5</v>
      </c>
      <c r="Q185" s="458">
        <f>N185*P185*$N$11</f>
        <v>5.1862639500000016</v>
      </c>
      <c r="R185" s="549">
        <f>SUM(Q185:Q185)</f>
        <v>5.1862639500000016</v>
      </c>
      <c r="S185" s="980"/>
      <c r="T185" s="980"/>
      <c r="U185" s="1049"/>
      <c r="V185" s="276">
        <f t="shared" si="0"/>
        <v>0</v>
      </c>
      <c r="W185" s="277">
        <f t="shared" si="1"/>
        <v>0</v>
      </c>
      <c r="X185" s="422"/>
      <c r="Y185" s="457"/>
    </row>
    <row r="186" spans="1:25" s="157" customFormat="1" ht="12">
      <c r="A186" s="1058">
        <f>+A184+1</f>
        <v>5</v>
      </c>
      <c r="B186" s="968" t="s">
        <v>217</v>
      </c>
      <c r="C186" s="970" t="s">
        <v>225</v>
      </c>
      <c r="D186" s="972" t="s">
        <v>197</v>
      </c>
      <c r="E186" s="974">
        <f>3*E175</f>
        <v>3</v>
      </c>
      <c r="F186" s="1351">
        <v>0.46</v>
      </c>
      <c r="G186" s="1352"/>
      <c r="H186" s="1353"/>
      <c r="I186" s="976">
        <v>0.08</v>
      </c>
      <c r="J186" s="977"/>
      <c r="K186" s="978"/>
      <c r="L186" s="420"/>
      <c r="M186" s="178"/>
      <c r="N186" s="548"/>
      <c r="O186" s="548"/>
      <c r="P186" s="548"/>
      <c r="Q186" s="554"/>
      <c r="R186" s="552">
        <f>F187+I187</f>
        <v>1.3328448000000002</v>
      </c>
      <c r="S186" s="979">
        <f>R186+R187</f>
        <v>5.8172343621000016</v>
      </c>
      <c r="T186" s="979">
        <f>E186*S186</f>
        <v>17.451703086300004</v>
      </c>
      <c r="U186" s="1048">
        <f>R187*E186</f>
        <v>13.453168686300003</v>
      </c>
      <c r="V186" s="276">
        <f t="shared" si="0"/>
        <v>7.7249217728860113</v>
      </c>
      <c r="W186" s="277">
        <f t="shared" si="1"/>
        <v>23.174765318658032</v>
      </c>
      <c r="X186" s="422"/>
    </row>
    <row r="187" spans="1:25" s="157" customFormat="1" ht="30.75" customHeight="1">
      <c r="A187" s="1060"/>
      <c r="B187" s="969"/>
      <c r="C187" s="971"/>
      <c r="D187" s="973"/>
      <c r="E187" s="975"/>
      <c r="F187" s="1348">
        <f>F186*$J$13/1000</f>
        <v>1.0750200000000001</v>
      </c>
      <c r="G187" s="1349"/>
      <c r="H187" s="1350"/>
      <c r="I187" s="976">
        <f>I186*$Q$13/1000</f>
        <v>0.25782479999999997</v>
      </c>
      <c r="J187" s="977"/>
      <c r="K187" s="978"/>
      <c r="L187" s="340" t="s">
        <v>218</v>
      </c>
      <c r="M187" s="246" t="s">
        <v>116</v>
      </c>
      <c r="N187" s="247">
        <v>1.5</v>
      </c>
      <c r="O187" s="250">
        <f>E186*N187</f>
        <v>4.5</v>
      </c>
      <c r="P187" s="243">
        <v>2.5939999999999999</v>
      </c>
      <c r="Q187" s="248">
        <f>N187*P187*$N$11</f>
        <v>4.4843895621000014</v>
      </c>
      <c r="R187" s="552">
        <f>SUM(Q187:Q187)</f>
        <v>4.4843895621000014</v>
      </c>
      <c r="S187" s="980"/>
      <c r="T187" s="980"/>
      <c r="U187" s="1049"/>
      <c r="V187" s="276">
        <f t="shared" si="0"/>
        <v>0</v>
      </c>
      <c r="W187" s="277">
        <f t="shared" si="1"/>
        <v>0</v>
      </c>
      <c r="X187" s="422"/>
    </row>
    <row r="188" spans="1:25" s="157" customFormat="1" ht="12.75" customHeight="1">
      <c r="A188" s="1058">
        <f>+A186+1</f>
        <v>6</v>
      </c>
      <c r="B188" s="968" t="s">
        <v>193</v>
      </c>
      <c r="C188" s="970" t="s">
        <v>226</v>
      </c>
      <c r="D188" s="972" t="s">
        <v>194</v>
      </c>
      <c r="E188" s="990">
        <f>7.5*E175</f>
        <v>7.5</v>
      </c>
      <c r="F188" s="1351">
        <v>0.13</v>
      </c>
      <c r="G188" s="1352"/>
      <c r="H188" s="1353"/>
      <c r="I188" s="999">
        <v>1.7000000000000001E-2</v>
      </c>
      <c r="J188" s="1000"/>
      <c r="K188" s="1001"/>
      <c r="L188" s="420"/>
      <c r="M188" s="178"/>
      <c r="N188" s="548"/>
      <c r="O188" s="548"/>
      <c r="P188" s="421"/>
      <c r="Q188" s="554"/>
      <c r="R188" s="552">
        <f>F189+I189</f>
        <v>0.35859777000000004</v>
      </c>
      <c r="S188" s="979">
        <f>R188+R189</f>
        <v>1.1930100144000004</v>
      </c>
      <c r="T188" s="979">
        <f>E188*S188</f>
        <v>8.9475751080000023</v>
      </c>
      <c r="U188" s="1048">
        <f>R189*E188</f>
        <v>6.2580918330000026</v>
      </c>
      <c r="V188" s="276">
        <f t="shared" si="0"/>
        <v>1.5842423498617144</v>
      </c>
      <c r="W188" s="277">
        <f t="shared" si="1"/>
        <v>11.881817623962858</v>
      </c>
      <c r="X188" s="422"/>
    </row>
    <row r="189" spans="1:25" s="157" customFormat="1" ht="21.75" customHeight="1">
      <c r="A189" s="1060"/>
      <c r="B189" s="969"/>
      <c r="C189" s="996"/>
      <c r="D189" s="973"/>
      <c r="E189" s="991"/>
      <c r="F189" s="1348">
        <f>F188*$J$13/1000</f>
        <v>0.30381000000000002</v>
      </c>
      <c r="G189" s="1349"/>
      <c r="H189" s="1350"/>
      <c r="I189" s="976">
        <f>I188*$Q$13/1000</f>
        <v>5.478777E-2</v>
      </c>
      <c r="J189" s="977"/>
      <c r="K189" s="978"/>
      <c r="L189" s="249" t="s">
        <v>219</v>
      </c>
      <c r="M189" s="246" t="s">
        <v>116</v>
      </c>
      <c r="N189" s="247">
        <v>1</v>
      </c>
      <c r="O189" s="250">
        <f>E188*N189</f>
        <v>7.5</v>
      </c>
      <c r="P189" s="243">
        <f>0.543/3*4</f>
        <v>0.72400000000000009</v>
      </c>
      <c r="Q189" s="248">
        <f>N189*P189*$N$11</f>
        <v>0.83441224440000039</v>
      </c>
      <c r="R189" s="552">
        <f>SUM(Q189:Q189)</f>
        <v>0.83441224440000039</v>
      </c>
      <c r="S189" s="980"/>
      <c r="T189" s="980"/>
      <c r="U189" s="1049"/>
      <c r="V189" s="276">
        <f t="shared" si="0"/>
        <v>0</v>
      </c>
      <c r="W189" s="277">
        <f t="shared" si="1"/>
        <v>0</v>
      </c>
      <c r="X189" s="422"/>
    </row>
    <row r="190" spans="1:25" s="431" customFormat="1" ht="15" customHeight="1">
      <c r="A190" s="507"/>
      <c r="C190" s="560" t="s">
        <v>312</v>
      </c>
      <c r="D190" s="427"/>
      <c r="E190" s="428">
        <v>1</v>
      </c>
      <c r="F190" s="1328" t="s">
        <v>277</v>
      </c>
      <c r="G190" s="1328"/>
      <c r="H190" s="1328"/>
      <c r="I190" s="1328"/>
      <c r="J190" s="1328"/>
      <c r="K190" s="1328"/>
      <c r="L190" s="1328"/>
      <c r="M190" s="429"/>
      <c r="N190" s="429"/>
      <c r="O190" s="429"/>
      <c r="P190" s="428"/>
      <c r="Q190" s="428"/>
      <c r="R190" s="428"/>
      <c r="S190" s="428"/>
      <c r="T190" s="428"/>
      <c r="U190" s="430">
        <f>+E190</f>
        <v>1</v>
      </c>
      <c r="V190" s="276">
        <f t="shared" si="0"/>
        <v>0</v>
      </c>
      <c r="W190" s="277">
        <f t="shared" si="1"/>
        <v>0</v>
      </c>
      <c r="X190" s="422"/>
    </row>
    <row r="191" spans="1:25" s="436" customFormat="1" ht="12.75">
      <c r="A191" s="1329">
        <v>1</v>
      </c>
      <c r="B191" s="1331" t="s">
        <v>211</v>
      </c>
      <c r="C191" s="1279" t="s">
        <v>200</v>
      </c>
      <c r="D191" s="1333" t="s">
        <v>201</v>
      </c>
      <c r="E191" s="1226">
        <f>2.5*E190</f>
        <v>2.5</v>
      </c>
      <c r="F191" s="1335">
        <f>0.01*194</f>
        <v>1.94</v>
      </c>
      <c r="G191" s="1335"/>
      <c r="H191" s="1335"/>
      <c r="I191" s="1336">
        <v>0</v>
      </c>
      <c r="J191" s="1336"/>
      <c r="K191" s="1336"/>
      <c r="L191" s="432"/>
      <c r="M191" s="433"/>
      <c r="N191" s="433"/>
      <c r="O191" s="433"/>
      <c r="P191" s="434"/>
      <c r="Q191" s="435"/>
      <c r="R191" s="1337">
        <f>F192+I192</f>
        <v>4.5337800000000001</v>
      </c>
      <c r="S191" s="1337">
        <f>R191+R192</f>
        <v>4.5337800000000001</v>
      </c>
      <c r="T191" s="1337">
        <f>E191*S191</f>
        <v>11.33445</v>
      </c>
      <c r="U191" s="1343"/>
      <c r="V191" s="276">
        <f t="shared" si="0"/>
        <v>6.0205750113240972</v>
      </c>
      <c r="W191" s="277">
        <f t="shared" si="1"/>
        <v>15.051437528310244</v>
      </c>
      <c r="X191" s="422"/>
    </row>
    <row r="192" spans="1:25" s="436" customFormat="1" ht="12.75">
      <c r="A192" s="1330"/>
      <c r="B192" s="1332"/>
      <c r="C192" s="1279"/>
      <c r="D192" s="1334"/>
      <c r="E192" s="1227"/>
      <c r="F192" s="1335">
        <f>F191*$J$13/1000</f>
        <v>4.5337800000000001</v>
      </c>
      <c r="G192" s="1335"/>
      <c r="H192" s="1335"/>
      <c r="I192" s="1336">
        <f>I191*$Q$13/1000</f>
        <v>0</v>
      </c>
      <c r="J192" s="1336"/>
      <c r="K192" s="1336"/>
      <c r="L192" s="437"/>
      <c r="M192" s="438"/>
      <c r="N192" s="438"/>
      <c r="O192" s="438" t="s">
        <v>20</v>
      </c>
      <c r="P192" s="439"/>
      <c r="Q192" s="440"/>
      <c r="R192" s="1338"/>
      <c r="S192" s="1338"/>
      <c r="T192" s="1338"/>
      <c r="U192" s="1344"/>
      <c r="V192" s="276">
        <f t="shared" si="0"/>
        <v>0</v>
      </c>
      <c r="W192" s="277">
        <f t="shared" si="1"/>
        <v>0</v>
      </c>
      <c r="X192" s="422"/>
    </row>
    <row r="193" spans="1:25" s="436" customFormat="1" ht="12.75">
      <c r="A193" s="1329">
        <f>+A191+1</f>
        <v>2</v>
      </c>
      <c r="B193" s="1331" t="s">
        <v>212</v>
      </c>
      <c r="C193" s="1296" t="s">
        <v>222</v>
      </c>
      <c r="D193" s="1333" t="s">
        <v>201</v>
      </c>
      <c r="E193" s="1226">
        <f>+E191</f>
        <v>2.5</v>
      </c>
      <c r="F193" s="1335">
        <f>0.01*66.4</f>
        <v>0.66400000000000003</v>
      </c>
      <c r="G193" s="1335"/>
      <c r="H193" s="1335"/>
      <c r="I193" s="1345"/>
      <c r="J193" s="1345"/>
      <c r="K193" s="1345"/>
      <c r="L193" s="441"/>
      <c r="M193" s="442"/>
      <c r="N193" s="443"/>
      <c r="O193" s="443"/>
      <c r="P193" s="444"/>
      <c r="Q193" s="445"/>
      <c r="R193" s="1337">
        <f>F194+I194</f>
        <v>1.551768</v>
      </c>
      <c r="S193" s="1337">
        <f>R193+R194</f>
        <v>1.551768</v>
      </c>
      <c r="T193" s="1337">
        <f>E193*S193</f>
        <v>3.8794200000000001</v>
      </c>
      <c r="U193" s="446"/>
      <c r="V193" s="276">
        <f t="shared" si="0"/>
        <v>2.0606504162470105</v>
      </c>
      <c r="W193" s="277">
        <f t="shared" si="1"/>
        <v>5.1516260406175265</v>
      </c>
      <c r="X193" s="422"/>
    </row>
    <row r="194" spans="1:25" s="436" customFormat="1" ht="10.5" customHeight="1">
      <c r="A194" s="1330"/>
      <c r="B194" s="1332"/>
      <c r="C194" s="1297"/>
      <c r="D194" s="1334"/>
      <c r="E194" s="1227"/>
      <c r="F194" s="1335">
        <f>F193*$J$13/1000</f>
        <v>1.551768</v>
      </c>
      <c r="G194" s="1335"/>
      <c r="H194" s="1335"/>
      <c r="I194" s="1346"/>
      <c r="J194" s="1346"/>
      <c r="K194" s="1346"/>
      <c r="L194" s="437"/>
      <c r="M194" s="447"/>
      <c r="N194" s="448"/>
      <c r="O194" s="448"/>
      <c r="P194" s="439"/>
      <c r="Q194" s="449"/>
      <c r="R194" s="1338"/>
      <c r="S194" s="1338"/>
      <c r="T194" s="1338"/>
      <c r="U194" s="450"/>
      <c r="V194" s="276">
        <f t="shared" si="0"/>
        <v>0</v>
      </c>
      <c r="W194" s="277">
        <f t="shared" si="1"/>
        <v>0</v>
      </c>
      <c r="X194" s="422"/>
    </row>
    <row r="195" spans="1:25" s="157" customFormat="1" ht="12">
      <c r="A195" s="1058">
        <f>+A193+1</f>
        <v>3</v>
      </c>
      <c r="B195" s="968" t="s">
        <v>213</v>
      </c>
      <c r="C195" s="988" t="s">
        <v>223</v>
      </c>
      <c r="D195" s="972" t="s">
        <v>199</v>
      </c>
      <c r="E195" s="990">
        <f>+((0.4*2.51)+(1.5*3.77)+(6*0.4)+(7*0.22)+(1.5*0.04))*E190</f>
        <v>10.659000000000001</v>
      </c>
      <c r="F195" s="1308">
        <f>36.1/1000</f>
        <v>3.61E-2</v>
      </c>
      <c r="G195" s="1309"/>
      <c r="H195" s="1310"/>
      <c r="I195" s="999">
        <v>5.7000000000000002E-2</v>
      </c>
      <c r="J195" s="1000"/>
      <c r="K195" s="1001"/>
      <c r="L195" s="420"/>
      <c r="M195" s="178"/>
      <c r="N195" s="548"/>
      <c r="O195" s="548"/>
      <c r="P195" s="548"/>
      <c r="Q195" s="547"/>
      <c r="R195" s="552">
        <f>F196+I196</f>
        <v>0.26806587000000004</v>
      </c>
      <c r="S195" s="979">
        <f>R195+R196+R197+R198</f>
        <v>0.91280676072246025</v>
      </c>
      <c r="T195" s="979">
        <f>E195*S195</f>
        <v>9.7296072625407053</v>
      </c>
      <c r="U195" s="1048">
        <f>E195*Q196</f>
        <v>6.756491798595003</v>
      </c>
      <c r="V195" s="276">
        <f t="shared" si="0"/>
        <v>1.2121500323732819</v>
      </c>
      <c r="W195" s="277">
        <f t="shared" si="1"/>
        <v>12.920307195066812</v>
      </c>
      <c r="X195" s="422"/>
      <c r="Y195" s="242"/>
    </row>
    <row r="196" spans="1:25" s="157" customFormat="1" ht="13.5" customHeight="1">
      <c r="A196" s="1059"/>
      <c r="B196" s="995"/>
      <c r="C196" s="1020"/>
      <c r="D196" s="997"/>
      <c r="E196" s="998"/>
      <c r="F196" s="1017">
        <f>F195*$J$13/1000</f>
        <v>8.4365700000000002E-2</v>
      </c>
      <c r="G196" s="1018"/>
      <c r="H196" s="1016"/>
      <c r="I196" s="1017">
        <f>I195*$Q$13/1000</f>
        <v>0.18370017000000002</v>
      </c>
      <c r="J196" s="1018"/>
      <c r="K196" s="1016"/>
      <c r="L196" s="252" t="s">
        <v>208</v>
      </c>
      <c r="M196" s="253" t="s">
        <v>124</v>
      </c>
      <c r="N196" s="267">
        <v>1</v>
      </c>
      <c r="O196" s="343">
        <f>E195*N196</f>
        <v>10.659000000000001</v>
      </c>
      <c r="P196" s="243">
        <v>0.55000000000000004</v>
      </c>
      <c r="Q196" s="248">
        <f>N196*P196*$N$11</f>
        <v>0.63387670500000026</v>
      </c>
      <c r="R196" s="979">
        <f>SUM(Q196:Q198)</f>
        <v>0.64474089072246021</v>
      </c>
      <c r="S196" s="1002"/>
      <c r="T196" s="1002"/>
      <c r="U196" s="1251"/>
      <c r="V196" s="276">
        <f t="shared" si="0"/>
        <v>0</v>
      </c>
      <c r="W196" s="277">
        <f t="shared" si="1"/>
        <v>0</v>
      </c>
      <c r="X196" s="422"/>
      <c r="Y196" s="242"/>
    </row>
    <row r="197" spans="1:25" s="157" customFormat="1" ht="12">
      <c r="A197" s="1059"/>
      <c r="B197" s="995"/>
      <c r="C197" s="1020"/>
      <c r="D197" s="997"/>
      <c r="E197" s="998"/>
      <c r="F197" s="1021"/>
      <c r="G197" s="1022"/>
      <c r="H197" s="1023"/>
      <c r="I197" s="1021"/>
      <c r="J197" s="1022"/>
      <c r="K197" s="1023"/>
      <c r="L197" s="340" t="s">
        <v>190</v>
      </c>
      <c r="M197" s="246" t="s">
        <v>124</v>
      </c>
      <c r="N197" s="243">
        <v>4.0000000000000001E-3</v>
      </c>
      <c r="O197" s="250">
        <f>E195*N197</f>
        <v>4.2636E-2</v>
      </c>
      <c r="P197" s="451">
        <v>0.89400000000000002</v>
      </c>
      <c r="Q197" s="452">
        <f>N197*P197*$N$11</f>
        <v>4.1213510856000016E-3</v>
      </c>
      <c r="R197" s="1002"/>
      <c r="S197" s="1002"/>
      <c r="T197" s="1002"/>
      <c r="U197" s="1251"/>
      <c r="V197" s="276">
        <f t="shared" si="0"/>
        <v>0</v>
      </c>
      <c r="W197" s="277">
        <f t="shared" si="1"/>
        <v>0</v>
      </c>
      <c r="X197" s="422"/>
      <c r="Y197" s="242"/>
    </row>
    <row r="198" spans="1:25" s="157" customFormat="1" ht="12">
      <c r="A198" s="1060"/>
      <c r="B198" s="969"/>
      <c r="C198" s="989"/>
      <c r="D198" s="973"/>
      <c r="E198" s="991"/>
      <c r="F198" s="985"/>
      <c r="G198" s="986"/>
      <c r="H198" s="987"/>
      <c r="I198" s="985"/>
      <c r="J198" s="986"/>
      <c r="K198" s="987"/>
      <c r="L198" s="453" t="s">
        <v>214</v>
      </c>
      <c r="M198" s="246" t="s">
        <v>124</v>
      </c>
      <c r="N198" s="454">
        <v>4.8999999999999998E-3</v>
      </c>
      <c r="O198" s="264">
        <f>E195*N198</f>
        <v>5.2229100000000001E-2</v>
      </c>
      <c r="P198" s="455">
        <v>1.194</v>
      </c>
      <c r="Q198" s="456">
        <f>N198*P198*$N$11</f>
        <v>6.742834636860001E-3</v>
      </c>
      <c r="R198" s="980"/>
      <c r="S198" s="980"/>
      <c r="T198" s="980"/>
      <c r="U198" s="1049"/>
      <c r="V198" s="276">
        <f t="shared" si="0"/>
        <v>0</v>
      </c>
      <c r="W198" s="277">
        <f t="shared" si="1"/>
        <v>0</v>
      </c>
      <c r="X198" s="422"/>
      <c r="Y198" s="242"/>
    </row>
    <row r="199" spans="1:25" s="401" customFormat="1" ht="12">
      <c r="A199" s="1058">
        <f>+A195+1</f>
        <v>4</v>
      </c>
      <c r="B199" s="968" t="s">
        <v>215</v>
      </c>
      <c r="C199" s="1347" t="s">
        <v>224</v>
      </c>
      <c r="D199" s="972" t="s">
        <v>197</v>
      </c>
      <c r="E199" s="974">
        <v>7</v>
      </c>
      <c r="F199" s="976">
        <v>0.23</v>
      </c>
      <c r="G199" s="977"/>
      <c r="H199" s="978"/>
      <c r="I199" s="976">
        <v>0.01</v>
      </c>
      <c r="J199" s="977"/>
      <c r="K199" s="978"/>
      <c r="L199" s="420"/>
      <c r="M199" s="178"/>
      <c r="N199" s="548"/>
      <c r="O199" s="548"/>
      <c r="P199" s="561"/>
      <c r="Q199" s="554"/>
      <c r="R199" s="552">
        <f>F200+I200</f>
        <v>0.56973810000000003</v>
      </c>
      <c r="S199" s="979">
        <f>R199+R200</f>
        <v>5.756002050000002</v>
      </c>
      <c r="T199" s="979">
        <f>E199*S199</f>
        <v>40.292014350000017</v>
      </c>
      <c r="U199" s="1048">
        <f>E199*Q200</f>
        <v>36.303847650000009</v>
      </c>
      <c r="V199" s="276">
        <f t="shared" si="0"/>
        <v>7.6436091092554745</v>
      </c>
      <c r="W199" s="277">
        <f t="shared" si="1"/>
        <v>53.505263764788324</v>
      </c>
      <c r="X199" s="422"/>
      <c r="Y199" s="457"/>
    </row>
    <row r="200" spans="1:25" s="401" customFormat="1" ht="12">
      <c r="A200" s="1060"/>
      <c r="B200" s="969"/>
      <c r="C200" s="1347"/>
      <c r="D200" s="973"/>
      <c r="E200" s="975"/>
      <c r="F200" s="985">
        <f>F199*$J$13/1000</f>
        <v>0.53751000000000004</v>
      </c>
      <c r="G200" s="986"/>
      <c r="H200" s="987"/>
      <c r="I200" s="985">
        <f>I199*$Q$13/1000</f>
        <v>3.2228099999999996E-2</v>
      </c>
      <c r="J200" s="986"/>
      <c r="K200" s="987"/>
      <c r="L200" s="340" t="s">
        <v>216</v>
      </c>
      <c r="M200" s="246" t="s">
        <v>164</v>
      </c>
      <c r="N200" s="247">
        <v>1</v>
      </c>
      <c r="O200" s="250">
        <f>E199*N200</f>
        <v>7</v>
      </c>
      <c r="P200" s="341">
        <v>4.5</v>
      </c>
      <c r="Q200" s="458">
        <f>N200*P200*$N$11</f>
        <v>5.1862639500000016</v>
      </c>
      <c r="R200" s="549">
        <f>SUM(Q200:Q200)</f>
        <v>5.1862639500000016</v>
      </c>
      <c r="S200" s="980"/>
      <c r="T200" s="980"/>
      <c r="U200" s="1049"/>
      <c r="V200" s="276">
        <f t="shared" si="0"/>
        <v>0</v>
      </c>
      <c r="W200" s="277">
        <f t="shared" si="1"/>
        <v>0</v>
      </c>
      <c r="X200" s="422"/>
      <c r="Y200" s="457"/>
    </row>
    <row r="201" spans="1:25" s="157" customFormat="1" ht="12">
      <c r="A201" s="1058">
        <f>+A199+1</f>
        <v>5</v>
      </c>
      <c r="B201" s="968" t="s">
        <v>217</v>
      </c>
      <c r="C201" s="970" t="s">
        <v>225</v>
      </c>
      <c r="D201" s="972" t="s">
        <v>197</v>
      </c>
      <c r="E201" s="974">
        <f>3*E190</f>
        <v>3</v>
      </c>
      <c r="F201" s="1351">
        <v>0.46</v>
      </c>
      <c r="G201" s="1352"/>
      <c r="H201" s="1353"/>
      <c r="I201" s="976">
        <v>0.08</v>
      </c>
      <c r="J201" s="977"/>
      <c r="K201" s="978"/>
      <c r="L201" s="420"/>
      <c r="M201" s="178"/>
      <c r="N201" s="548"/>
      <c r="O201" s="548"/>
      <c r="P201" s="548"/>
      <c r="Q201" s="554"/>
      <c r="R201" s="552">
        <f>F202+I202</f>
        <v>1.3328448000000002</v>
      </c>
      <c r="S201" s="979">
        <f>R201+R202</f>
        <v>5.8172343621000016</v>
      </c>
      <c r="T201" s="979">
        <f>E201*S201</f>
        <v>17.451703086300004</v>
      </c>
      <c r="U201" s="1048">
        <f>R202*E201</f>
        <v>13.453168686300003</v>
      </c>
      <c r="V201" s="276">
        <f t="shared" si="0"/>
        <v>7.7249217728860113</v>
      </c>
      <c r="W201" s="277">
        <f t="shared" si="1"/>
        <v>23.174765318658032</v>
      </c>
      <c r="X201" s="422"/>
    </row>
    <row r="202" spans="1:25" s="157" customFormat="1" ht="18" customHeight="1">
      <c r="A202" s="1060"/>
      <c r="B202" s="969"/>
      <c r="C202" s="971"/>
      <c r="D202" s="973"/>
      <c r="E202" s="975"/>
      <c r="F202" s="1348">
        <f>F201*$J$13/1000</f>
        <v>1.0750200000000001</v>
      </c>
      <c r="G202" s="1349"/>
      <c r="H202" s="1350"/>
      <c r="I202" s="976">
        <f>I201*$Q$13/1000</f>
        <v>0.25782479999999997</v>
      </c>
      <c r="J202" s="977"/>
      <c r="K202" s="978"/>
      <c r="L202" s="340" t="s">
        <v>218</v>
      </c>
      <c r="M202" s="246" t="s">
        <v>116</v>
      </c>
      <c r="N202" s="247">
        <v>1.5</v>
      </c>
      <c r="O202" s="250">
        <f>E201*N202</f>
        <v>4.5</v>
      </c>
      <c r="P202" s="243">
        <v>2.5939999999999999</v>
      </c>
      <c r="Q202" s="248">
        <f>N202*P202*$N$11</f>
        <v>4.4843895621000014</v>
      </c>
      <c r="R202" s="552">
        <f>SUM(Q202:Q202)</f>
        <v>4.4843895621000014</v>
      </c>
      <c r="S202" s="980"/>
      <c r="T202" s="980"/>
      <c r="U202" s="1049"/>
      <c r="V202" s="276">
        <f t="shared" si="0"/>
        <v>0</v>
      </c>
      <c r="W202" s="277">
        <f t="shared" si="1"/>
        <v>0</v>
      </c>
      <c r="X202" s="422"/>
    </row>
    <row r="203" spans="1:25" s="157" customFormat="1" ht="12.75" customHeight="1">
      <c r="A203" s="1058">
        <f>+A201+1</f>
        <v>6</v>
      </c>
      <c r="B203" s="968" t="s">
        <v>193</v>
      </c>
      <c r="C203" s="970" t="s">
        <v>226</v>
      </c>
      <c r="D203" s="972" t="s">
        <v>194</v>
      </c>
      <c r="E203" s="990">
        <f>7.5*E190</f>
        <v>7.5</v>
      </c>
      <c r="F203" s="1351">
        <v>0.13</v>
      </c>
      <c r="G203" s="1352"/>
      <c r="H203" s="1353"/>
      <c r="I203" s="999">
        <v>1.7000000000000001E-2</v>
      </c>
      <c r="J203" s="1000"/>
      <c r="K203" s="1001"/>
      <c r="L203" s="420"/>
      <c r="M203" s="178"/>
      <c r="N203" s="548"/>
      <c r="O203" s="548"/>
      <c r="P203" s="421"/>
      <c r="Q203" s="554"/>
      <c r="R203" s="552">
        <f>F204+I204</f>
        <v>0.35859777000000004</v>
      </c>
      <c r="S203" s="979">
        <f>R203+R204</f>
        <v>1.1930100144000004</v>
      </c>
      <c r="T203" s="979">
        <f>E203*S203</f>
        <v>8.9475751080000023</v>
      </c>
      <c r="U203" s="1048">
        <f>R204*E203</f>
        <v>6.2580918330000026</v>
      </c>
      <c r="V203" s="276">
        <f t="shared" si="0"/>
        <v>1.5842423498617144</v>
      </c>
      <c r="W203" s="277">
        <f t="shared" si="1"/>
        <v>11.881817623962858</v>
      </c>
      <c r="X203" s="422"/>
    </row>
    <row r="204" spans="1:25" s="157" customFormat="1" ht="21.75" customHeight="1">
      <c r="A204" s="1060"/>
      <c r="B204" s="969"/>
      <c r="C204" s="996"/>
      <c r="D204" s="973"/>
      <c r="E204" s="991"/>
      <c r="F204" s="1348">
        <f>F203*$J$13/1000</f>
        <v>0.30381000000000002</v>
      </c>
      <c r="G204" s="1349"/>
      <c r="H204" s="1350"/>
      <c r="I204" s="976">
        <f>I203*$Q$13/1000</f>
        <v>5.478777E-2</v>
      </c>
      <c r="J204" s="977"/>
      <c r="K204" s="978"/>
      <c r="L204" s="249" t="s">
        <v>219</v>
      </c>
      <c r="M204" s="246" t="s">
        <v>116</v>
      </c>
      <c r="N204" s="247">
        <v>1</v>
      </c>
      <c r="O204" s="250">
        <f>E203*N204</f>
        <v>7.5</v>
      </c>
      <c r="P204" s="243">
        <f>0.543/3*4</f>
        <v>0.72400000000000009</v>
      </c>
      <c r="Q204" s="248">
        <f>N204*P204*$N$11</f>
        <v>0.83441224440000039</v>
      </c>
      <c r="R204" s="552">
        <f>SUM(Q204:Q204)</f>
        <v>0.83441224440000039</v>
      </c>
      <c r="S204" s="980"/>
      <c r="T204" s="980"/>
      <c r="U204" s="1049"/>
      <c r="V204" s="276">
        <f t="shared" si="0"/>
        <v>0</v>
      </c>
      <c r="W204" s="277">
        <f t="shared" si="1"/>
        <v>0</v>
      </c>
      <c r="X204" s="422"/>
    </row>
    <row r="205" spans="1:25" s="431" customFormat="1" ht="15" customHeight="1">
      <c r="A205" s="507"/>
      <c r="C205" s="560" t="s">
        <v>313</v>
      </c>
      <c r="D205" s="427"/>
      <c r="E205" s="428">
        <v>4</v>
      </c>
      <c r="F205" s="1328" t="s">
        <v>278</v>
      </c>
      <c r="G205" s="1328"/>
      <c r="H205" s="1328"/>
      <c r="I205" s="1328"/>
      <c r="J205" s="1328"/>
      <c r="K205" s="1328"/>
      <c r="L205" s="1328"/>
      <c r="M205" s="429"/>
      <c r="N205" s="429"/>
      <c r="O205" s="429"/>
      <c r="P205" s="428"/>
      <c r="Q205" s="428"/>
      <c r="R205" s="428"/>
      <c r="S205" s="428"/>
      <c r="T205" s="428"/>
      <c r="U205" s="430">
        <f>+E205</f>
        <v>4</v>
      </c>
      <c r="V205" s="276">
        <f t="shared" si="0"/>
        <v>0</v>
      </c>
      <c r="W205" s="277">
        <f t="shared" si="1"/>
        <v>0</v>
      </c>
      <c r="X205" s="422"/>
    </row>
    <row r="206" spans="1:25" s="436" customFormat="1" ht="12.75">
      <c r="A206" s="1329">
        <v>1</v>
      </c>
      <c r="B206" s="1331" t="s">
        <v>211</v>
      </c>
      <c r="C206" s="1279" t="s">
        <v>200</v>
      </c>
      <c r="D206" s="1333" t="s">
        <v>201</v>
      </c>
      <c r="E206" s="1226">
        <f>2.5*E205</f>
        <v>10</v>
      </c>
      <c r="F206" s="1335">
        <f>0.01*194</f>
        <v>1.94</v>
      </c>
      <c r="G206" s="1335"/>
      <c r="H206" s="1335"/>
      <c r="I206" s="1336">
        <v>0</v>
      </c>
      <c r="J206" s="1336"/>
      <c r="K206" s="1336"/>
      <c r="L206" s="432"/>
      <c r="M206" s="433"/>
      <c r="N206" s="433"/>
      <c r="O206" s="433"/>
      <c r="P206" s="434"/>
      <c r="Q206" s="435"/>
      <c r="R206" s="1337">
        <f>F207+I207</f>
        <v>4.5337800000000001</v>
      </c>
      <c r="S206" s="1337">
        <f>R206+R207</f>
        <v>4.5337800000000001</v>
      </c>
      <c r="T206" s="1337">
        <f>E206*S206</f>
        <v>45.337800000000001</v>
      </c>
      <c r="U206" s="1343"/>
      <c r="V206" s="276">
        <f t="shared" si="0"/>
        <v>6.0205750113240972</v>
      </c>
      <c r="W206" s="277">
        <f t="shared" si="1"/>
        <v>60.205750113240974</v>
      </c>
      <c r="X206" s="422"/>
    </row>
    <row r="207" spans="1:25" s="436" customFormat="1" ht="12.75">
      <c r="A207" s="1330"/>
      <c r="B207" s="1332"/>
      <c r="C207" s="1279"/>
      <c r="D207" s="1334"/>
      <c r="E207" s="1227"/>
      <c r="F207" s="1335">
        <f>F206*$J$13/1000</f>
        <v>4.5337800000000001</v>
      </c>
      <c r="G207" s="1335"/>
      <c r="H207" s="1335"/>
      <c r="I207" s="1336">
        <f>I206*$Q$13/1000</f>
        <v>0</v>
      </c>
      <c r="J207" s="1336"/>
      <c r="K207" s="1336"/>
      <c r="L207" s="437"/>
      <c r="M207" s="438"/>
      <c r="N207" s="438"/>
      <c r="O207" s="438" t="s">
        <v>20</v>
      </c>
      <c r="P207" s="439"/>
      <c r="Q207" s="440"/>
      <c r="R207" s="1338"/>
      <c r="S207" s="1338"/>
      <c r="T207" s="1338"/>
      <c r="U207" s="1344"/>
      <c r="V207" s="276">
        <f t="shared" si="0"/>
        <v>0</v>
      </c>
      <c r="W207" s="277">
        <f t="shared" si="1"/>
        <v>0</v>
      </c>
      <c r="X207" s="422"/>
    </row>
    <row r="208" spans="1:25" s="436" customFormat="1" ht="12.75">
      <c r="A208" s="1329">
        <f>+A206+1</f>
        <v>2</v>
      </c>
      <c r="B208" s="1331" t="s">
        <v>212</v>
      </c>
      <c r="C208" s="1296" t="s">
        <v>222</v>
      </c>
      <c r="D208" s="1333" t="s">
        <v>201</v>
      </c>
      <c r="E208" s="1226">
        <f>+E206</f>
        <v>10</v>
      </c>
      <c r="F208" s="1335">
        <f>0.01*66.4</f>
        <v>0.66400000000000003</v>
      </c>
      <c r="G208" s="1335"/>
      <c r="H208" s="1335"/>
      <c r="I208" s="1345"/>
      <c r="J208" s="1345"/>
      <c r="K208" s="1345"/>
      <c r="L208" s="441"/>
      <c r="M208" s="442"/>
      <c r="N208" s="443"/>
      <c r="O208" s="443"/>
      <c r="P208" s="444"/>
      <c r="Q208" s="445"/>
      <c r="R208" s="1337">
        <f>F209+I209</f>
        <v>1.551768</v>
      </c>
      <c r="S208" s="1337">
        <f>R208+R209</f>
        <v>1.551768</v>
      </c>
      <c r="T208" s="1337">
        <f>E208*S208</f>
        <v>15.51768</v>
      </c>
      <c r="U208" s="446"/>
      <c r="V208" s="276">
        <f t="shared" si="0"/>
        <v>2.0606504162470105</v>
      </c>
      <c r="W208" s="277">
        <f t="shared" si="1"/>
        <v>20.606504162470106</v>
      </c>
      <c r="X208" s="422"/>
    </row>
    <row r="209" spans="1:50" s="436" customFormat="1" ht="10.5" customHeight="1">
      <c r="A209" s="1330"/>
      <c r="B209" s="1332"/>
      <c r="C209" s="1297"/>
      <c r="D209" s="1334"/>
      <c r="E209" s="1227"/>
      <c r="F209" s="1335">
        <f>F208*$J$13/1000</f>
        <v>1.551768</v>
      </c>
      <c r="G209" s="1335"/>
      <c r="H209" s="1335"/>
      <c r="I209" s="1346"/>
      <c r="J209" s="1346"/>
      <c r="K209" s="1346"/>
      <c r="L209" s="437"/>
      <c r="M209" s="447"/>
      <c r="N209" s="448"/>
      <c r="O209" s="448"/>
      <c r="P209" s="439"/>
      <c r="Q209" s="449"/>
      <c r="R209" s="1338"/>
      <c r="S209" s="1338"/>
      <c r="T209" s="1338"/>
      <c r="U209" s="450"/>
      <c r="V209" s="276">
        <f t="shared" si="0"/>
        <v>0</v>
      </c>
      <c r="W209" s="277">
        <f t="shared" si="1"/>
        <v>0</v>
      </c>
      <c r="X209" s="422"/>
    </row>
    <row r="210" spans="1:50" s="157" customFormat="1" ht="12">
      <c r="A210" s="1058">
        <f>+A208+1</f>
        <v>3</v>
      </c>
      <c r="B210" s="968" t="s">
        <v>213</v>
      </c>
      <c r="C210" s="988" t="s">
        <v>223</v>
      </c>
      <c r="D210" s="972" t="s">
        <v>199</v>
      </c>
      <c r="E210" s="990">
        <f>+((0.4*2.51)+(1.5*3.77)+(4*0.4)+(7*0.22)+(1.5*0.04))*E205</f>
        <v>39.436</v>
      </c>
      <c r="F210" s="1308">
        <f>36.1/1000</f>
        <v>3.61E-2</v>
      </c>
      <c r="G210" s="1309"/>
      <c r="H210" s="1310"/>
      <c r="I210" s="999">
        <v>5.7000000000000002E-2</v>
      </c>
      <c r="J210" s="1000"/>
      <c r="K210" s="1001"/>
      <c r="L210" s="420"/>
      <c r="M210" s="178"/>
      <c r="N210" s="548"/>
      <c r="O210" s="548"/>
      <c r="P210" s="548"/>
      <c r="Q210" s="547"/>
      <c r="R210" s="552">
        <f>F211+I211</f>
        <v>0.26806587000000004</v>
      </c>
      <c r="S210" s="979">
        <f>R210+R211+R212+R213</f>
        <v>0.91280676072246025</v>
      </c>
      <c r="T210" s="979">
        <f>E210*S210</f>
        <v>35.997447415850942</v>
      </c>
      <c r="U210" s="1048">
        <f>E210*Q211</f>
        <v>24.997561738380011</v>
      </c>
      <c r="V210" s="276">
        <f t="shared" si="0"/>
        <v>1.2121500323732819</v>
      </c>
      <c r="W210" s="277">
        <f t="shared" si="1"/>
        <v>47.802348676672743</v>
      </c>
      <c r="X210" s="422"/>
      <c r="Y210" s="242"/>
    </row>
    <row r="211" spans="1:50" s="157" customFormat="1" ht="13.5" customHeight="1">
      <c r="A211" s="1059"/>
      <c r="B211" s="995"/>
      <c r="C211" s="1020"/>
      <c r="D211" s="997"/>
      <c r="E211" s="998"/>
      <c r="F211" s="1017">
        <f>F210*$J$13/1000</f>
        <v>8.4365700000000002E-2</v>
      </c>
      <c r="G211" s="1018"/>
      <c r="H211" s="1016"/>
      <c r="I211" s="1017">
        <f>I210*$Q$13/1000</f>
        <v>0.18370017000000002</v>
      </c>
      <c r="J211" s="1018"/>
      <c r="K211" s="1016"/>
      <c r="L211" s="252" t="s">
        <v>208</v>
      </c>
      <c r="M211" s="253" t="s">
        <v>124</v>
      </c>
      <c r="N211" s="267">
        <v>1</v>
      </c>
      <c r="O211" s="343">
        <f>E210*N211</f>
        <v>39.436</v>
      </c>
      <c r="P211" s="243">
        <v>0.55000000000000004</v>
      </c>
      <c r="Q211" s="248">
        <f>N211*P211*$N$11</f>
        <v>0.63387670500000026</v>
      </c>
      <c r="R211" s="979">
        <f>SUM(Q211:Q213)</f>
        <v>0.64474089072246021</v>
      </c>
      <c r="S211" s="1002"/>
      <c r="T211" s="1002"/>
      <c r="U211" s="1251"/>
      <c r="V211" s="276">
        <f t="shared" si="0"/>
        <v>0</v>
      </c>
      <c r="W211" s="277">
        <f t="shared" si="1"/>
        <v>0</v>
      </c>
      <c r="X211" s="422"/>
      <c r="Y211" s="242"/>
    </row>
    <row r="212" spans="1:50" s="157" customFormat="1" ht="12">
      <c r="A212" s="1059"/>
      <c r="B212" s="995"/>
      <c r="C212" s="1020"/>
      <c r="D212" s="997"/>
      <c r="E212" s="998"/>
      <c r="F212" s="1021"/>
      <c r="G212" s="1022"/>
      <c r="H212" s="1023"/>
      <c r="I212" s="1021"/>
      <c r="J212" s="1022"/>
      <c r="K212" s="1023"/>
      <c r="L212" s="340" t="s">
        <v>190</v>
      </c>
      <c r="M212" s="246" t="s">
        <v>124</v>
      </c>
      <c r="N212" s="243">
        <v>4.0000000000000001E-3</v>
      </c>
      <c r="O212" s="250">
        <f>E210*N212</f>
        <v>0.157744</v>
      </c>
      <c r="P212" s="451">
        <v>0.89400000000000002</v>
      </c>
      <c r="Q212" s="452">
        <f>N212*P212*$N$11</f>
        <v>4.1213510856000016E-3</v>
      </c>
      <c r="R212" s="1002"/>
      <c r="S212" s="1002"/>
      <c r="T212" s="1002"/>
      <c r="U212" s="1251"/>
      <c r="V212" s="276">
        <f t="shared" si="0"/>
        <v>0</v>
      </c>
      <c r="W212" s="277">
        <f t="shared" si="1"/>
        <v>0</v>
      </c>
      <c r="X212" s="422"/>
      <c r="Y212" s="242"/>
    </row>
    <row r="213" spans="1:50" s="157" customFormat="1" ht="12">
      <c r="A213" s="1060"/>
      <c r="B213" s="969"/>
      <c r="C213" s="989"/>
      <c r="D213" s="973"/>
      <c r="E213" s="991"/>
      <c r="F213" s="985"/>
      <c r="G213" s="986"/>
      <c r="H213" s="987"/>
      <c r="I213" s="985"/>
      <c r="J213" s="986"/>
      <c r="K213" s="987"/>
      <c r="L213" s="453" t="s">
        <v>214</v>
      </c>
      <c r="M213" s="246" t="s">
        <v>124</v>
      </c>
      <c r="N213" s="454">
        <v>4.8999999999999998E-3</v>
      </c>
      <c r="O213" s="264">
        <f>E210*N213</f>
        <v>0.1932364</v>
      </c>
      <c r="P213" s="455">
        <v>1.194</v>
      </c>
      <c r="Q213" s="456">
        <f>N213*P213*$N$11</f>
        <v>6.742834636860001E-3</v>
      </c>
      <c r="R213" s="980"/>
      <c r="S213" s="980"/>
      <c r="T213" s="980"/>
      <c r="U213" s="1049"/>
      <c r="V213" s="276">
        <f t="shared" si="0"/>
        <v>0</v>
      </c>
      <c r="W213" s="277">
        <f t="shared" si="1"/>
        <v>0</v>
      </c>
      <c r="X213" s="422"/>
      <c r="Y213" s="242"/>
    </row>
    <row r="214" spans="1:50" s="401" customFormat="1" ht="12">
      <c r="A214" s="1058">
        <f>+A210+1</f>
        <v>4</v>
      </c>
      <c r="B214" s="968" t="s">
        <v>215</v>
      </c>
      <c r="C214" s="1347" t="s">
        <v>224</v>
      </c>
      <c r="D214" s="972" t="s">
        <v>197</v>
      </c>
      <c r="E214" s="974">
        <v>7</v>
      </c>
      <c r="F214" s="976">
        <v>0.23</v>
      </c>
      <c r="G214" s="977"/>
      <c r="H214" s="978"/>
      <c r="I214" s="976">
        <v>0.01</v>
      </c>
      <c r="J214" s="977"/>
      <c r="K214" s="978"/>
      <c r="L214" s="420"/>
      <c r="M214" s="178"/>
      <c r="N214" s="548"/>
      <c r="O214" s="548"/>
      <c r="P214" s="561"/>
      <c r="Q214" s="554"/>
      <c r="R214" s="552">
        <f>F215+I215</f>
        <v>0.56973810000000003</v>
      </c>
      <c r="S214" s="979">
        <f>R214+R215</f>
        <v>5.756002050000002</v>
      </c>
      <c r="T214" s="979">
        <f>E214*S214</f>
        <v>40.292014350000017</v>
      </c>
      <c r="U214" s="1048">
        <f>E214*Q215</f>
        <v>36.303847650000009</v>
      </c>
      <c r="V214" s="276">
        <f t="shared" si="0"/>
        <v>7.6436091092554745</v>
      </c>
      <c r="W214" s="277">
        <f t="shared" si="1"/>
        <v>53.505263764788324</v>
      </c>
      <c r="X214" s="422"/>
      <c r="Y214" s="457"/>
    </row>
    <row r="215" spans="1:50" s="401" customFormat="1" ht="12">
      <c r="A215" s="1060"/>
      <c r="B215" s="969"/>
      <c r="C215" s="1347"/>
      <c r="D215" s="973"/>
      <c r="E215" s="975"/>
      <c r="F215" s="985">
        <f>F214*$J$13/1000</f>
        <v>0.53751000000000004</v>
      </c>
      <c r="G215" s="986"/>
      <c r="H215" s="987"/>
      <c r="I215" s="985">
        <f>I214*$Q$13/1000</f>
        <v>3.2228099999999996E-2</v>
      </c>
      <c r="J215" s="986"/>
      <c r="K215" s="987"/>
      <c r="L215" s="340" t="s">
        <v>216</v>
      </c>
      <c r="M215" s="246" t="s">
        <v>164</v>
      </c>
      <c r="N215" s="247">
        <v>1</v>
      </c>
      <c r="O215" s="250">
        <f>E214*N215</f>
        <v>7</v>
      </c>
      <c r="P215" s="341">
        <v>4.5</v>
      </c>
      <c r="Q215" s="458">
        <f>N215*P215*$N$11</f>
        <v>5.1862639500000016</v>
      </c>
      <c r="R215" s="549">
        <f>SUM(Q215:Q215)</f>
        <v>5.1862639500000016</v>
      </c>
      <c r="S215" s="980"/>
      <c r="T215" s="980"/>
      <c r="U215" s="1049"/>
      <c r="V215" s="276">
        <f t="shared" si="0"/>
        <v>0</v>
      </c>
      <c r="W215" s="277">
        <f t="shared" si="1"/>
        <v>0</v>
      </c>
      <c r="X215" s="422"/>
      <c r="Y215" s="457"/>
    </row>
    <row r="216" spans="1:50" s="157" customFormat="1" ht="12">
      <c r="A216" s="1058">
        <f>+A214+1</f>
        <v>5</v>
      </c>
      <c r="B216" s="968" t="s">
        <v>217</v>
      </c>
      <c r="C216" s="970" t="s">
        <v>225</v>
      </c>
      <c r="D216" s="972" t="s">
        <v>197</v>
      </c>
      <c r="E216" s="974">
        <f>3*E205</f>
        <v>12</v>
      </c>
      <c r="F216" s="1351">
        <v>0.46</v>
      </c>
      <c r="G216" s="1352"/>
      <c r="H216" s="1353"/>
      <c r="I216" s="976">
        <v>0.08</v>
      </c>
      <c r="J216" s="977"/>
      <c r="K216" s="978"/>
      <c r="L216" s="420"/>
      <c r="M216" s="178"/>
      <c r="N216" s="548"/>
      <c r="O216" s="548"/>
      <c r="P216" s="548"/>
      <c r="Q216" s="554"/>
      <c r="R216" s="552">
        <f>F217+I217</f>
        <v>1.3328448000000002</v>
      </c>
      <c r="S216" s="979">
        <f>R216+R217</f>
        <v>5.8172343621000016</v>
      </c>
      <c r="T216" s="979">
        <f>E216*S216</f>
        <v>69.806812345200015</v>
      </c>
      <c r="U216" s="1048">
        <f>R217*E216</f>
        <v>53.812674745200013</v>
      </c>
      <c r="V216" s="276">
        <f t="shared" si="0"/>
        <v>7.7249217728860113</v>
      </c>
      <c r="W216" s="277">
        <f t="shared" si="1"/>
        <v>92.699061274632129</v>
      </c>
      <c r="X216" s="422"/>
    </row>
    <row r="217" spans="1:50" s="157" customFormat="1" ht="16.5" customHeight="1">
      <c r="A217" s="1060"/>
      <c r="B217" s="969"/>
      <c r="C217" s="971"/>
      <c r="D217" s="973"/>
      <c r="E217" s="975"/>
      <c r="F217" s="1348">
        <f>F216*$J$13/1000</f>
        <v>1.0750200000000001</v>
      </c>
      <c r="G217" s="1349"/>
      <c r="H217" s="1350"/>
      <c r="I217" s="976">
        <f>I216*$Q$13/1000</f>
        <v>0.25782479999999997</v>
      </c>
      <c r="J217" s="977"/>
      <c r="K217" s="978"/>
      <c r="L217" s="340" t="s">
        <v>218</v>
      </c>
      <c r="M217" s="246" t="s">
        <v>116</v>
      </c>
      <c r="N217" s="247">
        <v>1.5</v>
      </c>
      <c r="O217" s="250">
        <f>E216*N217</f>
        <v>18</v>
      </c>
      <c r="P217" s="243">
        <v>2.5939999999999999</v>
      </c>
      <c r="Q217" s="248">
        <f>N217*P217*$N$11</f>
        <v>4.4843895621000014</v>
      </c>
      <c r="R217" s="552">
        <f>SUM(Q217:Q217)</f>
        <v>4.4843895621000014</v>
      </c>
      <c r="S217" s="980"/>
      <c r="T217" s="980"/>
      <c r="U217" s="1049"/>
      <c r="V217" s="276">
        <f t="shared" si="0"/>
        <v>0</v>
      </c>
      <c r="W217" s="277">
        <f t="shared" si="1"/>
        <v>0</v>
      </c>
      <c r="X217" s="422"/>
    </row>
    <row r="218" spans="1:50" s="157" customFormat="1" ht="12.75" customHeight="1">
      <c r="A218" s="1058">
        <f>+A216+1</f>
        <v>6</v>
      </c>
      <c r="B218" s="968" t="s">
        <v>193</v>
      </c>
      <c r="C218" s="970" t="s">
        <v>226</v>
      </c>
      <c r="D218" s="972" t="s">
        <v>194</v>
      </c>
      <c r="E218" s="990">
        <f>7.5*E205</f>
        <v>30</v>
      </c>
      <c r="F218" s="1351">
        <v>0.13</v>
      </c>
      <c r="G218" s="1352"/>
      <c r="H218" s="1353"/>
      <c r="I218" s="999">
        <v>1.7000000000000001E-2</v>
      </c>
      <c r="J218" s="1000"/>
      <c r="K218" s="1001"/>
      <c r="L218" s="420"/>
      <c r="M218" s="178"/>
      <c r="N218" s="548"/>
      <c r="O218" s="548"/>
      <c r="P218" s="421"/>
      <c r="Q218" s="554"/>
      <c r="R218" s="552">
        <f>F219+I219</f>
        <v>0.35859777000000004</v>
      </c>
      <c r="S218" s="979">
        <f>R218+R219</f>
        <v>1.1930100144000004</v>
      </c>
      <c r="T218" s="979">
        <f>E218*S218</f>
        <v>35.790300432000009</v>
      </c>
      <c r="U218" s="1048">
        <f>R219*E218</f>
        <v>25.03236733200001</v>
      </c>
      <c r="V218" s="276">
        <f t="shared" si="0"/>
        <v>1.5842423498617144</v>
      </c>
      <c r="W218" s="277">
        <f t="shared" si="1"/>
        <v>47.527270495851432</v>
      </c>
      <c r="X218" s="422"/>
    </row>
    <row r="219" spans="1:50" s="157" customFormat="1" ht="17.25" customHeight="1">
      <c r="A219" s="1060"/>
      <c r="B219" s="969"/>
      <c r="C219" s="996"/>
      <c r="D219" s="973"/>
      <c r="E219" s="991"/>
      <c r="F219" s="1348">
        <f>F218*$J$13/1000</f>
        <v>0.30381000000000002</v>
      </c>
      <c r="G219" s="1349"/>
      <c r="H219" s="1350"/>
      <c r="I219" s="976">
        <f>I218*$Q$13/1000</f>
        <v>5.478777E-2</v>
      </c>
      <c r="J219" s="977"/>
      <c r="K219" s="978"/>
      <c r="L219" s="249" t="s">
        <v>219</v>
      </c>
      <c r="M219" s="246" t="s">
        <v>116</v>
      </c>
      <c r="N219" s="247">
        <v>1</v>
      </c>
      <c r="O219" s="250">
        <f>E218*N219</f>
        <v>30</v>
      </c>
      <c r="P219" s="243">
        <f>0.543/3*4</f>
        <v>0.72400000000000009</v>
      </c>
      <c r="Q219" s="248">
        <f>N219*P219*$N$11</f>
        <v>0.83441224440000039</v>
      </c>
      <c r="R219" s="552">
        <f>SUM(Q219:Q219)</f>
        <v>0.83441224440000039</v>
      </c>
      <c r="S219" s="980"/>
      <c r="T219" s="980"/>
      <c r="U219" s="1049"/>
      <c r="V219" s="276">
        <f t="shared" si="0"/>
        <v>0</v>
      </c>
      <c r="W219" s="277">
        <f t="shared" si="1"/>
        <v>0</v>
      </c>
      <c r="X219" s="422"/>
    </row>
    <row r="220" spans="1:50" s="156" customFormat="1" ht="12.75" customHeight="1">
      <c r="A220" s="374"/>
      <c r="B220" s="375"/>
      <c r="C220" s="376" t="s">
        <v>153</v>
      </c>
      <c r="D220" s="377"/>
      <c r="E220" s="378"/>
      <c r="F220" s="379"/>
      <c r="G220" s="380"/>
      <c r="H220" s="379"/>
      <c r="I220" s="379"/>
      <c r="J220" s="380"/>
      <c r="K220" s="379"/>
      <c r="L220" s="381"/>
      <c r="M220" s="382"/>
      <c r="N220" s="383"/>
      <c r="O220" s="384"/>
      <c r="P220" s="379"/>
      <c r="Q220" s="385"/>
      <c r="R220" s="384"/>
      <c r="S220" s="384"/>
      <c r="T220" s="386">
        <f>SUM(T128:T219)-$T$116</f>
        <v>12486.338211442589</v>
      </c>
      <c r="U220" s="386">
        <f>SUM(U128:U219)-$T$116</f>
        <v>10161.838745480449</v>
      </c>
      <c r="V220" s="276">
        <f t="shared" ref="V220:V283" si="14">+$V$14*S220</f>
        <v>0</v>
      </c>
      <c r="W220" s="562">
        <f>SUM(W127:W219)</f>
        <v>16233.726794915947</v>
      </c>
      <c r="X220" s="422">
        <v>0.35791057980815372</v>
      </c>
      <c r="Y220" s="159"/>
      <c r="Z220" s="159"/>
      <c r="AA220" s="159"/>
      <c r="AB220" s="159"/>
      <c r="AC220" s="159"/>
      <c r="AD220" s="159"/>
      <c r="AE220" s="159"/>
      <c r="AF220" s="159"/>
      <c r="AG220" s="159"/>
      <c r="AH220" s="159"/>
      <c r="AI220" s="159"/>
      <c r="AJ220" s="159"/>
      <c r="AK220" s="159"/>
      <c r="AL220" s="159"/>
      <c r="AM220" s="159"/>
      <c r="AN220" s="159"/>
      <c r="AO220" s="159"/>
      <c r="AP220" s="159"/>
      <c r="AQ220" s="159"/>
      <c r="AR220" s="159"/>
      <c r="AS220" s="159"/>
      <c r="AT220" s="159"/>
      <c r="AU220" s="159"/>
      <c r="AV220" s="159"/>
      <c r="AW220" s="159"/>
      <c r="AX220" s="159"/>
    </row>
    <row r="221" spans="1:50" s="155" customFormat="1" ht="13.5" customHeight="1">
      <c r="A221" s="387"/>
      <c r="B221" s="559"/>
      <c r="C221" s="563" t="s">
        <v>321</v>
      </c>
      <c r="D221" s="559"/>
      <c r="E221" s="559"/>
      <c r="F221" s="559"/>
      <c r="G221" s="558"/>
      <c r="H221" s="558"/>
      <c r="I221" s="559"/>
      <c r="J221" s="559"/>
      <c r="K221" s="559"/>
      <c r="L221" s="388"/>
      <c r="M221" s="559"/>
      <c r="N221" s="559"/>
      <c r="O221" s="559"/>
      <c r="P221" s="559"/>
      <c r="Q221" s="559"/>
      <c r="R221" s="559"/>
      <c r="S221" s="559"/>
      <c r="T221" s="559"/>
      <c r="U221" s="389"/>
      <c r="V221" s="276">
        <f t="shared" si="14"/>
        <v>0</v>
      </c>
      <c r="W221" s="277">
        <f t="shared" ref="W221:W284" si="15">+V221*E221</f>
        <v>0</v>
      </c>
      <c r="X221" s="422"/>
      <c r="Y221" s="197"/>
      <c r="Z221" s="197"/>
      <c r="AA221" s="197"/>
      <c r="AB221" s="197"/>
      <c r="AC221" s="197"/>
      <c r="AD221" s="197"/>
      <c r="AE221" s="197"/>
      <c r="AF221" s="156"/>
      <c r="AG221" s="156"/>
    </row>
    <row r="222" spans="1:50" s="245" customFormat="1" ht="14.25" customHeight="1">
      <c r="A222" s="899">
        <v>1</v>
      </c>
      <c r="B222" s="830" t="s">
        <v>259</v>
      </c>
      <c r="C222" s="1279" t="s">
        <v>302</v>
      </c>
      <c r="D222" s="1280" t="s">
        <v>201</v>
      </c>
      <c r="E222" s="1228">
        <v>10.5</v>
      </c>
      <c r="F222" s="1283">
        <f>205/100</f>
        <v>2.0499999999999998</v>
      </c>
      <c r="G222" s="1283"/>
      <c r="H222" s="1283"/>
      <c r="I222" s="1278">
        <v>0</v>
      </c>
      <c r="J222" s="1278"/>
      <c r="K222" s="1278"/>
      <c r="L222" s="390"/>
      <c r="M222" s="391"/>
      <c r="N222" s="391"/>
      <c r="O222" s="391"/>
      <c r="P222" s="391"/>
      <c r="Q222" s="392"/>
      <c r="R222" s="805">
        <f>F223+I223</f>
        <v>4.7908499999999998</v>
      </c>
      <c r="S222" s="805">
        <f>R222+R223</f>
        <v>4.7908499999999998</v>
      </c>
      <c r="T222" s="805">
        <f>E222*S222</f>
        <v>50.303925</v>
      </c>
      <c r="U222" s="850"/>
      <c r="V222" s="276">
        <f t="shared" si="14"/>
        <v>6.3619478212445353</v>
      </c>
      <c r="W222" s="277">
        <f t="shared" si="15"/>
        <v>66.800452123067615</v>
      </c>
      <c r="X222" s="422"/>
    </row>
    <row r="223" spans="1:50" s="245" customFormat="1" ht="14.25" customHeight="1">
      <c r="A223" s="1224"/>
      <c r="B223" s="831"/>
      <c r="C223" s="1279"/>
      <c r="D223" s="1280"/>
      <c r="E223" s="1281"/>
      <c r="F223" s="816">
        <f>F222*$J$13/1000</f>
        <v>4.7908499999999998</v>
      </c>
      <c r="G223" s="816"/>
      <c r="H223" s="816"/>
      <c r="I223" s="1278">
        <f>I222*$Q$13/1000</f>
        <v>0</v>
      </c>
      <c r="J223" s="1278"/>
      <c r="K223" s="1278"/>
      <c r="L223" s="393"/>
      <c r="M223" s="394"/>
      <c r="N223" s="394"/>
      <c r="O223" s="394"/>
      <c r="P223" s="394"/>
      <c r="Q223" s="395"/>
      <c r="R223" s="806"/>
      <c r="S223" s="806"/>
      <c r="T223" s="806"/>
      <c r="U223" s="888"/>
      <c r="V223" s="276">
        <f t="shared" si="14"/>
        <v>0</v>
      </c>
      <c r="W223" s="277">
        <f t="shared" si="15"/>
        <v>0</v>
      </c>
      <c r="X223" s="422"/>
    </row>
    <row r="224" spans="1:50" s="245" customFormat="1" ht="15" customHeight="1">
      <c r="A224" s="899">
        <f>+A222+1</f>
        <v>2</v>
      </c>
      <c r="B224" s="856" t="s">
        <v>243</v>
      </c>
      <c r="C224" s="1279" t="s">
        <v>322</v>
      </c>
      <c r="D224" s="1280" t="s">
        <v>201</v>
      </c>
      <c r="E224" s="1229">
        <v>15.8</v>
      </c>
      <c r="F224" s="1225">
        <f>0.01*474</f>
        <v>4.74</v>
      </c>
      <c r="G224" s="1225"/>
      <c r="H224" s="1225"/>
      <c r="I224" s="1282">
        <v>0</v>
      </c>
      <c r="J224" s="1282"/>
      <c r="K224" s="1282"/>
      <c r="L224" s="390"/>
      <c r="M224" s="391"/>
      <c r="N224" s="391"/>
      <c r="O224" s="391"/>
      <c r="P224" s="391"/>
      <c r="Q224" s="392"/>
      <c r="R224" s="887">
        <f>F225+I225</f>
        <v>11.077380000000002</v>
      </c>
      <c r="S224" s="887">
        <f>R224+R225</f>
        <v>11.077380000000002</v>
      </c>
      <c r="T224" s="887">
        <f>E224*S224</f>
        <v>175.02260400000003</v>
      </c>
      <c r="U224" s="851"/>
      <c r="V224" s="276">
        <f t="shared" si="14"/>
        <v>14.710064718389805</v>
      </c>
      <c r="W224" s="277">
        <f t="shared" si="15"/>
        <v>232.41902255055894</v>
      </c>
      <c r="X224" s="422"/>
    </row>
    <row r="225" spans="1:38" s="500" customFormat="1" ht="15" customHeight="1">
      <c r="A225" s="1224"/>
      <c r="B225" s="856"/>
      <c r="C225" s="1279"/>
      <c r="D225" s="1280"/>
      <c r="E225" s="1281"/>
      <c r="F225" s="816">
        <f>F224*$J$13/1000</f>
        <v>11.077380000000002</v>
      </c>
      <c r="G225" s="816"/>
      <c r="H225" s="816"/>
      <c r="I225" s="885">
        <f>I224*$Q$13/1000</f>
        <v>0</v>
      </c>
      <c r="J225" s="885"/>
      <c r="K225" s="885"/>
      <c r="L225" s="393"/>
      <c r="M225" s="394"/>
      <c r="N225" s="394"/>
      <c r="O225" s="394"/>
      <c r="P225" s="394"/>
      <c r="Q225" s="395"/>
      <c r="R225" s="887"/>
      <c r="S225" s="806"/>
      <c r="T225" s="806"/>
      <c r="U225" s="851"/>
      <c r="V225" s="276">
        <f t="shared" si="14"/>
        <v>0</v>
      </c>
      <c r="W225" s="277">
        <f t="shared" si="15"/>
        <v>0</v>
      </c>
      <c r="X225" s="422"/>
      <c r="Y225" s="466"/>
      <c r="Z225" s="466"/>
      <c r="AA225" s="466"/>
      <c r="AB225" s="466"/>
      <c r="AC225" s="466"/>
      <c r="AD225" s="466"/>
      <c r="AE225" s="466"/>
      <c r="AF225" s="499"/>
      <c r="AG225" s="499"/>
      <c r="AH225" s="499"/>
      <c r="AI225" s="499"/>
      <c r="AJ225" s="499"/>
    </row>
    <row r="226" spans="1:38" s="403" customFormat="1" ht="12.75" customHeight="1">
      <c r="A226" s="1292">
        <f>+A224+1</f>
        <v>3</v>
      </c>
      <c r="B226" s="1294" t="s">
        <v>181</v>
      </c>
      <c r="C226" s="1296" t="s">
        <v>202</v>
      </c>
      <c r="D226" s="1298" t="s">
        <v>203</v>
      </c>
      <c r="E226" s="1228">
        <v>26.3</v>
      </c>
      <c r="F226" s="1286">
        <f>0.01*56.2</f>
        <v>0.56200000000000006</v>
      </c>
      <c r="G226" s="1286"/>
      <c r="H226" s="1286"/>
      <c r="I226" s="1300"/>
      <c r="J226" s="1300"/>
      <c r="K226" s="1300"/>
      <c r="L226" s="390"/>
      <c r="M226" s="391"/>
      <c r="N226" s="391"/>
      <c r="O226" s="391"/>
      <c r="P226" s="391"/>
      <c r="Q226" s="392"/>
      <c r="R226" s="1284">
        <f>F227+I227</f>
        <v>1.3133940000000002</v>
      </c>
      <c r="S226" s="1284">
        <f>R226+R227</f>
        <v>1.3133940000000002</v>
      </c>
      <c r="T226" s="1284">
        <f>E226*S226</f>
        <v>34.542262200000003</v>
      </c>
      <c r="U226" s="526"/>
      <c r="V226" s="276">
        <f t="shared" si="14"/>
        <v>1.7441047197753312</v>
      </c>
      <c r="W226" s="277">
        <f t="shared" si="15"/>
        <v>45.869954130091209</v>
      </c>
      <c r="X226" s="422"/>
      <c r="Y226" s="527"/>
      <c r="Z226" s="401"/>
      <c r="AA226" s="401"/>
      <c r="AB226" s="401"/>
      <c r="AC226" s="401"/>
      <c r="AD226" s="401"/>
      <c r="AE226" s="401"/>
      <c r="AF226" s="401"/>
      <c r="AG226" s="401"/>
      <c r="AH226" s="402"/>
      <c r="AI226" s="402"/>
      <c r="AJ226" s="402"/>
      <c r="AK226" s="402"/>
      <c r="AL226" s="402"/>
    </row>
    <row r="227" spans="1:38" s="403" customFormat="1" ht="12.75" customHeight="1">
      <c r="A227" s="1293"/>
      <c r="B227" s="1295"/>
      <c r="C227" s="1297"/>
      <c r="D227" s="1299"/>
      <c r="E227" s="1281"/>
      <c r="F227" s="1286">
        <f>F226*$J$13/1000</f>
        <v>1.3133940000000002</v>
      </c>
      <c r="G227" s="1286"/>
      <c r="H227" s="1286"/>
      <c r="I227" s="1287">
        <f>J226*$Q$13/1000</f>
        <v>0</v>
      </c>
      <c r="J227" s="1287"/>
      <c r="K227" s="1287"/>
      <c r="L227" s="393"/>
      <c r="M227" s="394"/>
      <c r="N227" s="394"/>
      <c r="O227" s="394"/>
      <c r="P227" s="394"/>
      <c r="Q227" s="395"/>
      <c r="R227" s="1285"/>
      <c r="S227" s="1285"/>
      <c r="T227" s="1285"/>
      <c r="U227" s="528"/>
      <c r="V227" s="276">
        <f t="shared" si="14"/>
        <v>0</v>
      </c>
      <c r="W227" s="277">
        <f t="shared" si="15"/>
        <v>0</v>
      </c>
      <c r="X227" s="422"/>
      <c r="Y227" s="158"/>
      <c r="Z227" s="401"/>
      <c r="AA227" s="401"/>
      <c r="AB227" s="401"/>
      <c r="AC227" s="401"/>
      <c r="AD227" s="401"/>
      <c r="AE227" s="401"/>
      <c r="AF227" s="401"/>
      <c r="AG227" s="401"/>
      <c r="AH227" s="402"/>
      <c r="AI227" s="402"/>
      <c r="AJ227" s="402"/>
      <c r="AK227" s="402"/>
      <c r="AL227" s="402"/>
    </row>
    <row r="228" spans="1:38" s="408" customFormat="1" ht="12.75" customHeight="1">
      <c r="A228" s="1058">
        <f>+A226+1</f>
        <v>4</v>
      </c>
      <c r="B228" s="968" t="s">
        <v>182</v>
      </c>
      <c r="C228" s="1288" t="s">
        <v>204</v>
      </c>
      <c r="D228" s="823" t="s">
        <v>201</v>
      </c>
      <c r="E228" s="990">
        <v>26.3</v>
      </c>
      <c r="F228" s="999">
        <v>2.78</v>
      </c>
      <c r="G228" s="1000"/>
      <c r="H228" s="1001"/>
      <c r="I228" s="999">
        <v>0.34</v>
      </c>
      <c r="J228" s="1000"/>
      <c r="K228" s="1001"/>
      <c r="L228" s="342"/>
      <c r="M228" s="178"/>
      <c r="N228" s="407"/>
      <c r="O228" s="548"/>
      <c r="P228" s="548"/>
      <c r="Q228" s="547"/>
      <c r="R228" s="552">
        <f>F229+I229</f>
        <v>7.5926153999999997</v>
      </c>
      <c r="S228" s="979">
        <f>R228+R229</f>
        <v>46.176733652216264</v>
      </c>
      <c r="T228" s="979">
        <f>E228*S228</f>
        <v>1214.4480950532877</v>
      </c>
      <c r="U228" s="992">
        <f>E228*R229</f>
        <v>1014.7623100332878</v>
      </c>
      <c r="V228" s="276">
        <f t="shared" si="14"/>
        <v>61.319801298497438</v>
      </c>
      <c r="W228" s="277">
        <f t="shared" si="15"/>
        <v>1612.7107741504826</v>
      </c>
      <c r="X228" s="422"/>
    </row>
    <row r="229" spans="1:38" s="408" customFormat="1" ht="12">
      <c r="A229" s="1059"/>
      <c r="B229" s="995"/>
      <c r="C229" s="1289"/>
      <c r="D229" s="1291"/>
      <c r="E229" s="998"/>
      <c r="F229" s="1017">
        <f>F228*$J$13/1000</f>
        <v>6.4968599999999999</v>
      </c>
      <c r="G229" s="1018"/>
      <c r="H229" s="1016"/>
      <c r="I229" s="1017">
        <f>I228*$Q$13/1000</f>
        <v>1.0957554</v>
      </c>
      <c r="J229" s="1018"/>
      <c r="K229" s="1016"/>
      <c r="L229" s="252" t="s">
        <v>183</v>
      </c>
      <c r="M229" s="253" t="s">
        <v>184</v>
      </c>
      <c r="N229" s="409">
        <v>1.02</v>
      </c>
      <c r="O229" s="255">
        <f>E228*N229</f>
        <v>26.826000000000001</v>
      </c>
      <c r="P229" s="240">
        <v>27.25</v>
      </c>
      <c r="Q229" s="256">
        <f>N229*P229*$N$11</f>
        <v>32.033823664500012</v>
      </c>
      <c r="R229" s="979">
        <f>SUM(Q229:Q231)</f>
        <v>38.584118252216264</v>
      </c>
      <c r="S229" s="1002"/>
      <c r="T229" s="1002"/>
      <c r="U229" s="1019"/>
      <c r="V229" s="276">
        <f t="shared" si="14"/>
        <v>0</v>
      </c>
      <c r="W229" s="277">
        <f t="shared" si="15"/>
        <v>0</v>
      </c>
      <c r="X229" s="422"/>
    </row>
    <row r="230" spans="1:38" s="408" customFormat="1" ht="12">
      <c r="A230" s="1059"/>
      <c r="B230" s="995"/>
      <c r="C230" s="1289"/>
      <c r="D230" s="1291"/>
      <c r="E230" s="998"/>
      <c r="F230" s="1021"/>
      <c r="G230" s="1022"/>
      <c r="H230" s="1023"/>
      <c r="I230" s="1021"/>
      <c r="J230" s="1022"/>
      <c r="K230" s="1023"/>
      <c r="L230" s="262" t="s">
        <v>185</v>
      </c>
      <c r="M230" s="263" t="s">
        <v>186</v>
      </c>
      <c r="N230" s="410">
        <v>1.17</v>
      </c>
      <c r="O230" s="264">
        <f>E228*N230</f>
        <v>30.770999999999997</v>
      </c>
      <c r="P230" s="240">
        <v>3.5</v>
      </c>
      <c r="Q230" s="265">
        <f>N230*P230*$N$11</f>
        <v>4.719500194500001</v>
      </c>
      <c r="R230" s="1002"/>
      <c r="S230" s="1002"/>
      <c r="T230" s="1002"/>
      <c r="U230" s="1019"/>
      <c r="V230" s="276">
        <f t="shared" si="14"/>
        <v>0</v>
      </c>
      <c r="W230" s="277">
        <f t="shared" si="15"/>
        <v>0</v>
      </c>
      <c r="X230" s="422"/>
    </row>
    <row r="231" spans="1:38" s="408" customFormat="1" ht="13.5" customHeight="1">
      <c r="A231" s="1060"/>
      <c r="B231" s="969"/>
      <c r="C231" s="1290"/>
      <c r="D231" s="824"/>
      <c r="E231" s="991"/>
      <c r="F231" s="985"/>
      <c r="G231" s="986"/>
      <c r="H231" s="987"/>
      <c r="I231" s="985"/>
      <c r="J231" s="986"/>
      <c r="K231" s="987"/>
      <c r="L231" s="266" t="s">
        <v>187</v>
      </c>
      <c r="M231" s="257" t="s">
        <v>184</v>
      </c>
      <c r="N231" s="411">
        <v>1.2500000000000001E-2</v>
      </c>
      <c r="O231" s="259">
        <f>E228*N231</f>
        <v>0.32875000000000004</v>
      </c>
      <c r="P231" s="373">
        <v>127.083</v>
      </c>
      <c r="Q231" s="261">
        <f>N231*P231*$N$11</f>
        <v>1.8307943932162507</v>
      </c>
      <c r="R231" s="980"/>
      <c r="S231" s="980"/>
      <c r="T231" s="980"/>
      <c r="U231" s="993"/>
      <c r="V231" s="276">
        <f t="shared" si="14"/>
        <v>0</v>
      </c>
      <c r="W231" s="277">
        <f t="shared" si="15"/>
        <v>0</v>
      </c>
      <c r="X231" s="422"/>
    </row>
    <row r="232" spans="1:38" s="416" customFormat="1" ht="14.25" customHeight="1">
      <c r="A232" s="1058">
        <f>+A228+1</f>
        <v>5</v>
      </c>
      <c r="B232" s="968" t="s">
        <v>188</v>
      </c>
      <c r="C232" s="1301" t="s">
        <v>206</v>
      </c>
      <c r="D232" s="1304" t="s">
        <v>199</v>
      </c>
      <c r="E232" s="1307">
        <v>82.68</v>
      </c>
      <c r="F232" s="1308">
        <f>0.001*14.8</f>
        <v>1.4800000000000001E-2</v>
      </c>
      <c r="G232" s="1309"/>
      <c r="H232" s="1310"/>
      <c r="I232" s="999">
        <f>0.001*4.98</f>
        <v>4.9800000000000009E-3</v>
      </c>
      <c r="J232" s="1000"/>
      <c r="K232" s="1001"/>
      <c r="L232" s="342" t="s">
        <v>260</v>
      </c>
      <c r="M232" s="178"/>
      <c r="N232" s="407"/>
      <c r="O232" s="548"/>
      <c r="P232" s="548"/>
      <c r="Q232" s="547"/>
      <c r="R232" s="551">
        <f>F233+I233</f>
        <v>5.0637193800000008E-2</v>
      </c>
      <c r="S232" s="1070">
        <f>R232+R233</f>
        <v>0.68863524988560021</v>
      </c>
      <c r="T232" s="1070">
        <f>E232*S232</f>
        <v>56.936362460541432</v>
      </c>
      <c r="U232" s="1311">
        <f>R233*E232</f>
        <v>52.749679277157433</v>
      </c>
      <c r="V232" s="276">
        <f t="shared" si="14"/>
        <v>0.91446434925783115</v>
      </c>
      <c r="W232" s="277">
        <f t="shared" si="15"/>
        <v>75.607912396637488</v>
      </c>
      <c r="X232" s="422"/>
      <c r="Y232" s="157"/>
      <c r="Z232" s="159"/>
      <c r="AA232" s="159"/>
      <c r="AB232" s="159"/>
      <c r="AC232" s="159"/>
      <c r="AD232" s="159"/>
      <c r="AE232" s="159"/>
      <c r="AF232" s="159"/>
      <c r="AG232" s="159"/>
      <c r="AH232" s="159"/>
      <c r="AI232" s="159"/>
      <c r="AJ232" s="159"/>
      <c r="AK232" s="159"/>
      <c r="AL232" s="159"/>
    </row>
    <row r="233" spans="1:38" s="416" customFormat="1" ht="14.25" customHeight="1">
      <c r="A233" s="1059"/>
      <c r="B233" s="995"/>
      <c r="C233" s="1302"/>
      <c r="D233" s="1305"/>
      <c r="E233" s="1307"/>
      <c r="F233" s="1070">
        <f>F232*J$13/1000</f>
        <v>3.4587600000000003E-2</v>
      </c>
      <c r="G233" s="1070"/>
      <c r="H233" s="1070"/>
      <c r="I233" s="1070">
        <f>I232*$Q$13/1000</f>
        <v>1.6049593800000005E-2</v>
      </c>
      <c r="J233" s="1070"/>
      <c r="K233" s="1070"/>
      <c r="L233" s="252" t="s">
        <v>189</v>
      </c>
      <c r="M233" s="253" t="s">
        <v>124</v>
      </c>
      <c r="N233" s="409">
        <v>1</v>
      </c>
      <c r="O233" s="255">
        <f>E232*N233</f>
        <v>82.68</v>
      </c>
      <c r="P233" s="239">
        <v>0.55000000000000004</v>
      </c>
      <c r="Q233" s="256">
        <f>N233*P233*$N$11</f>
        <v>0.63387670500000026</v>
      </c>
      <c r="R233" s="1070">
        <f>SUM(Q233:Q234)</f>
        <v>0.63799805608560023</v>
      </c>
      <c r="S233" s="1070"/>
      <c r="T233" s="1070"/>
      <c r="U233" s="1311"/>
      <c r="V233" s="276">
        <f t="shared" si="14"/>
        <v>0</v>
      </c>
      <c r="W233" s="277">
        <f t="shared" si="15"/>
        <v>0</v>
      </c>
      <c r="X233" s="422"/>
      <c r="Y233" s="157"/>
      <c r="Z233" s="159"/>
      <c r="AA233" s="159"/>
      <c r="AB233" s="159"/>
      <c r="AC233" s="159"/>
      <c r="AD233" s="159"/>
      <c r="AE233" s="159"/>
      <c r="AF233" s="159"/>
      <c r="AG233" s="159"/>
      <c r="AH233" s="159"/>
      <c r="AI233" s="159"/>
      <c r="AJ233" s="159"/>
      <c r="AK233" s="159"/>
      <c r="AL233" s="159"/>
    </row>
    <row r="234" spans="1:38" s="416" customFormat="1" ht="13.5" customHeight="1">
      <c r="A234" s="1060"/>
      <c r="B234" s="969"/>
      <c r="C234" s="1303"/>
      <c r="D234" s="1306"/>
      <c r="E234" s="1307"/>
      <c r="F234" s="1070"/>
      <c r="G234" s="1070"/>
      <c r="H234" s="1070"/>
      <c r="I234" s="1070"/>
      <c r="J234" s="1070"/>
      <c r="K234" s="1070"/>
      <c r="L234" s="262" t="s">
        <v>190</v>
      </c>
      <c r="M234" s="263" t="s">
        <v>124</v>
      </c>
      <c r="N234" s="410">
        <v>4.0000000000000001E-3</v>
      </c>
      <c r="O234" s="264">
        <f>E232*N234</f>
        <v>0.33072000000000001</v>
      </c>
      <c r="P234" s="240">
        <v>0.89400000000000002</v>
      </c>
      <c r="Q234" s="415">
        <f t="shared" ref="Q234" si="16">N234*P234*$N$11</f>
        <v>4.1213510856000016E-3</v>
      </c>
      <c r="R234" s="1070"/>
      <c r="S234" s="1070"/>
      <c r="T234" s="1070"/>
      <c r="U234" s="1311"/>
      <c r="V234" s="276">
        <f t="shared" si="14"/>
        <v>0</v>
      </c>
      <c r="W234" s="277">
        <f t="shared" si="15"/>
        <v>0</v>
      </c>
      <c r="X234" s="422"/>
      <c r="Y234" s="157"/>
      <c r="Z234" s="159"/>
      <c r="AA234" s="159"/>
      <c r="AB234" s="159"/>
      <c r="AC234" s="159"/>
      <c r="AD234" s="159"/>
      <c r="AE234" s="159"/>
      <c r="AF234" s="159"/>
      <c r="AG234" s="159"/>
      <c r="AH234" s="159"/>
      <c r="AI234" s="159"/>
      <c r="AJ234" s="159"/>
      <c r="AK234" s="159"/>
      <c r="AL234" s="159"/>
    </row>
    <row r="235" spans="1:38" s="244" customFormat="1">
      <c r="A235" s="1058">
        <f>+A232+1</f>
        <v>6</v>
      </c>
      <c r="B235" s="1272" t="s">
        <v>191</v>
      </c>
      <c r="C235" s="1301" t="s">
        <v>207</v>
      </c>
      <c r="D235" s="1304" t="s">
        <v>199</v>
      </c>
      <c r="E235" s="1314">
        <v>31</v>
      </c>
      <c r="F235" s="1312"/>
      <c r="G235" s="1312"/>
      <c r="H235" s="1312"/>
      <c r="I235" s="1313"/>
      <c r="J235" s="1313"/>
      <c r="K235" s="1313"/>
      <c r="L235" s="417"/>
      <c r="M235" s="418"/>
      <c r="N235" s="418"/>
      <c r="O235" s="418"/>
      <c r="P235" s="418"/>
      <c r="Q235" s="419"/>
      <c r="R235" s="553"/>
      <c r="S235" s="1265">
        <f>R235+R236</f>
        <v>1.294947303370787</v>
      </c>
      <c r="T235" s="1265">
        <f>E235*S235</f>
        <v>40.143366404494394</v>
      </c>
      <c r="U235" s="1264">
        <f>R236*E235</f>
        <v>40.143366404494394</v>
      </c>
      <c r="V235" s="276">
        <f t="shared" si="14"/>
        <v>1.7196086655408256</v>
      </c>
      <c r="W235" s="277">
        <f t="shared" si="15"/>
        <v>53.307868631765594</v>
      </c>
      <c r="X235" s="422"/>
    </row>
    <row r="236" spans="1:38" s="244" customFormat="1" ht="13.5" customHeight="1">
      <c r="A236" s="1060"/>
      <c r="B236" s="1272"/>
      <c r="C236" s="1303"/>
      <c r="D236" s="1306"/>
      <c r="E236" s="1314"/>
      <c r="F236" s="1312"/>
      <c r="G236" s="1312"/>
      <c r="H236" s="1312"/>
      <c r="I236" s="1313"/>
      <c r="J236" s="1313"/>
      <c r="K236" s="1313"/>
      <c r="L236" s="249" t="s">
        <v>192</v>
      </c>
      <c r="M236" s="253" t="s">
        <v>124</v>
      </c>
      <c r="N236" s="267">
        <v>1</v>
      </c>
      <c r="O236" s="268">
        <f>E235*N236</f>
        <v>31</v>
      </c>
      <c r="P236" s="243">
        <f>1 /0.89</f>
        <v>1.1235955056179776</v>
      </c>
      <c r="Q236" s="236">
        <f>N236*P236*$N$11</f>
        <v>1.294947303370787</v>
      </c>
      <c r="R236" s="553">
        <f>SUM(Q236:Q236)</f>
        <v>1.294947303370787</v>
      </c>
      <c r="S236" s="1265"/>
      <c r="T236" s="1265"/>
      <c r="U236" s="1264"/>
      <c r="V236" s="276">
        <f t="shared" si="14"/>
        <v>0</v>
      </c>
      <c r="W236" s="277">
        <f t="shared" si="15"/>
        <v>0</v>
      </c>
      <c r="X236" s="422"/>
    </row>
    <row r="237" spans="1:38" s="157" customFormat="1" ht="14.25" customHeight="1">
      <c r="A237" s="1058">
        <f>+A235+1</f>
        <v>7</v>
      </c>
      <c r="B237" s="968" t="s">
        <v>261</v>
      </c>
      <c r="C237" s="988" t="s">
        <v>304</v>
      </c>
      <c r="D237" s="972" t="s">
        <v>199</v>
      </c>
      <c r="E237" s="990">
        <v>104</v>
      </c>
      <c r="F237" s="999">
        <v>0.124</v>
      </c>
      <c r="G237" s="1000"/>
      <c r="H237" s="1001"/>
      <c r="I237" s="1039">
        <f>1.4/1000</f>
        <v>1.4E-3</v>
      </c>
      <c r="J237" s="1040"/>
      <c r="K237" s="1041"/>
      <c r="L237" s="342"/>
      <c r="M237" s="178"/>
      <c r="N237" s="548"/>
      <c r="O237" s="546"/>
      <c r="P237" s="548"/>
      <c r="Q237" s="547"/>
      <c r="R237" s="552">
        <f>F238+I238</f>
        <v>0.29429993399999999</v>
      </c>
      <c r="S237" s="979">
        <f>R237+R238</f>
        <v>0.640050864</v>
      </c>
      <c r="T237" s="979">
        <f>E237*S237</f>
        <v>66.565289855999993</v>
      </c>
      <c r="U237" s="1048">
        <f>R238*E237</f>
        <v>35.958096720000007</v>
      </c>
      <c r="V237" s="276">
        <f t="shared" si="14"/>
        <v>0.84994733705093717</v>
      </c>
      <c r="W237" s="277">
        <f t="shared" si="15"/>
        <v>88.394523053297462</v>
      </c>
      <c r="X237" s="422"/>
      <c r="Y237" s="242"/>
    </row>
    <row r="238" spans="1:38" s="157" customFormat="1" ht="15.75" customHeight="1">
      <c r="A238" s="1060"/>
      <c r="B238" s="995"/>
      <c r="C238" s="989"/>
      <c r="D238" s="973"/>
      <c r="E238" s="998"/>
      <c r="F238" s="1017">
        <f>F237*J$13/1000</f>
        <v>0.28978799999999999</v>
      </c>
      <c r="G238" s="1018"/>
      <c r="H238" s="1016"/>
      <c r="I238" s="1053">
        <f>I237*$Q$13/1000</f>
        <v>4.5119340000000004E-3</v>
      </c>
      <c r="J238" s="1054"/>
      <c r="K238" s="1055"/>
      <c r="L238" s="249" t="s">
        <v>262</v>
      </c>
      <c r="M238" s="253" t="s">
        <v>124</v>
      </c>
      <c r="N238" s="267">
        <v>1</v>
      </c>
      <c r="O238" s="268">
        <f>E237*N238</f>
        <v>104</v>
      </c>
      <c r="P238" s="246">
        <v>0.3</v>
      </c>
      <c r="Q238" s="236">
        <f>N238*P238*$N$11</f>
        <v>0.34575093000000007</v>
      </c>
      <c r="R238" s="550">
        <f>SUM(Q238:Q238)</f>
        <v>0.34575093000000007</v>
      </c>
      <c r="S238" s="1002"/>
      <c r="T238" s="1002"/>
      <c r="U238" s="1251"/>
      <c r="V238" s="276">
        <f t="shared" si="14"/>
        <v>0</v>
      </c>
      <c r="W238" s="277">
        <f t="shared" si="15"/>
        <v>0</v>
      </c>
      <c r="X238" s="422"/>
      <c r="Y238" s="242"/>
    </row>
    <row r="239" spans="1:38" s="416" customFormat="1" ht="14.25" customHeight="1">
      <c r="A239" s="1058">
        <f>+A237+1</f>
        <v>8</v>
      </c>
      <c r="B239" s="968" t="s">
        <v>188</v>
      </c>
      <c r="C239" s="988" t="s">
        <v>205</v>
      </c>
      <c r="D239" s="972" t="s">
        <v>199</v>
      </c>
      <c r="E239" s="1307">
        <f>680.4+1827.36+162</f>
        <v>2669.7599999999998</v>
      </c>
      <c r="F239" s="1308">
        <f>0.001*14.8</f>
        <v>1.4800000000000001E-2</v>
      </c>
      <c r="G239" s="1309"/>
      <c r="H239" s="1310"/>
      <c r="I239" s="999">
        <f>0.001*4.98</f>
        <v>4.9800000000000009E-3</v>
      </c>
      <c r="J239" s="1000"/>
      <c r="K239" s="1001"/>
      <c r="L239" s="342"/>
      <c r="M239" s="178"/>
      <c r="N239" s="407"/>
      <c r="O239" s="548"/>
      <c r="P239" s="561"/>
      <c r="Q239" s="547"/>
      <c r="R239" s="551">
        <f>F240+I240</f>
        <v>5.0637193800000008E-2</v>
      </c>
      <c r="S239" s="1070">
        <f>R239+R240</f>
        <v>0.67732364538560008</v>
      </c>
      <c r="T239" s="1070">
        <f>E239*S239</f>
        <v>1808.2915755046595</v>
      </c>
      <c r="U239" s="1311">
        <f>R240*E239</f>
        <v>1673.1024209851716</v>
      </c>
      <c r="V239" s="276">
        <f t="shared" si="14"/>
        <v>0.89944324911828266</v>
      </c>
      <c r="W239" s="277">
        <f t="shared" si="15"/>
        <v>2401.2976087660263</v>
      </c>
      <c r="X239" s="422"/>
      <c r="Y239" s="157"/>
      <c r="Z239" s="159"/>
      <c r="AA239" s="159"/>
      <c r="AB239" s="159"/>
      <c r="AC239" s="159"/>
      <c r="AD239" s="159"/>
      <c r="AE239" s="159"/>
      <c r="AF239" s="159"/>
      <c r="AG239" s="159"/>
      <c r="AH239" s="159"/>
      <c r="AI239" s="159"/>
      <c r="AJ239" s="159"/>
      <c r="AK239" s="159"/>
      <c r="AL239" s="159"/>
    </row>
    <row r="240" spans="1:38" s="416" customFormat="1" ht="14.25" customHeight="1">
      <c r="A240" s="1059"/>
      <c r="B240" s="995"/>
      <c r="C240" s="1020"/>
      <c r="D240" s="997"/>
      <c r="E240" s="1307"/>
      <c r="F240" s="1070">
        <f>F239*J$13/1000</f>
        <v>3.4587600000000003E-2</v>
      </c>
      <c r="G240" s="1070"/>
      <c r="H240" s="1070"/>
      <c r="I240" s="1070">
        <f>I239*$Q$13/1000</f>
        <v>1.6049593800000005E-2</v>
      </c>
      <c r="J240" s="1070"/>
      <c r="K240" s="1070"/>
      <c r="L240" s="252" t="s">
        <v>189</v>
      </c>
      <c r="M240" s="253" t="s">
        <v>124</v>
      </c>
      <c r="N240" s="409">
        <v>1</v>
      </c>
      <c r="O240" s="255">
        <f>E239*N240</f>
        <v>2669.7599999999998</v>
      </c>
      <c r="P240" s="239">
        <f>2.917/5.4</f>
        <v>0.5401851851851851</v>
      </c>
      <c r="Q240" s="256">
        <f>N240*P240*$N$11</f>
        <v>0.62256510050000013</v>
      </c>
      <c r="R240" s="1070">
        <f>SUM(Q240:Q241)</f>
        <v>0.6266864515856001</v>
      </c>
      <c r="S240" s="1070"/>
      <c r="T240" s="1070"/>
      <c r="U240" s="1311"/>
      <c r="V240" s="276">
        <f t="shared" si="14"/>
        <v>0</v>
      </c>
      <c r="W240" s="277">
        <f t="shared" si="15"/>
        <v>0</v>
      </c>
      <c r="X240" s="422"/>
      <c r="Y240" s="157"/>
      <c r="Z240" s="159"/>
      <c r="AA240" s="159"/>
      <c r="AB240" s="159"/>
      <c r="AC240" s="159"/>
      <c r="AD240" s="159"/>
      <c r="AE240" s="159"/>
      <c r="AF240" s="159"/>
      <c r="AG240" s="159"/>
      <c r="AH240" s="159"/>
      <c r="AI240" s="159"/>
      <c r="AJ240" s="159"/>
      <c r="AK240" s="159"/>
      <c r="AL240" s="159"/>
    </row>
    <row r="241" spans="1:39" s="416" customFormat="1" ht="14.25" customHeight="1">
      <c r="A241" s="1060"/>
      <c r="B241" s="969"/>
      <c r="C241" s="989"/>
      <c r="D241" s="973"/>
      <c r="E241" s="1307"/>
      <c r="F241" s="1070"/>
      <c r="G241" s="1070"/>
      <c r="H241" s="1070"/>
      <c r="I241" s="1070"/>
      <c r="J241" s="1070"/>
      <c r="K241" s="1070"/>
      <c r="L241" s="262" t="s">
        <v>190</v>
      </c>
      <c r="M241" s="263" t="s">
        <v>124</v>
      </c>
      <c r="N241" s="410">
        <v>4.0000000000000001E-3</v>
      </c>
      <c r="O241" s="240">
        <f>E239*N241</f>
        <v>10.679039999999999</v>
      </c>
      <c r="P241" s="414">
        <v>0.89400000000000002</v>
      </c>
      <c r="Q241" s="415">
        <f t="shared" ref="Q241" si="17">N241*P241*$N$11</f>
        <v>4.1213510856000016E-3</v>
      </c>
      <c r="R241" s="1070"/>
      <c r="S241" s="1070"/>
      <c r="T241" s="1070"/>
      <c r="U241" s="1311"/>
      <c r="V241" s="276">
        <f t="shared" si="14"/>
        <v>0</v>
      </c>
      <c r="W241" s="277">
        <f t="shared" si="15"/>
        <v>0</v>
      </c>
      <c r="X241" s="422"/>
      <c r="Y241" s="157"/>
      <c r="Z241" s="159"/>
      <c r="AA241" s="159"/>
      <c r="AB241" s="159"/>
      <c r="AC241" s="159"/>
      <c r="AD241" s="159"/>
      <c r="AE241" s="159"/>
      <c r="AF241" s="159"/>
      <c r="AG241" s="159"/>
      <c r="AH241" s="159"/>
      <c r="AI241" s="159"/>
      <c r="AJ241" s="159"/>
      <c r="AK241" s="159"/>
      <c r="AL241" s="159"/>
    </row>
    <row r="242" spans="1:39" s="416" customFormat="1" ht="14.25" customHeight="1">
      <c r="A242" s="1058">
        <f>+A239+1</f>
        <v>9</v>
      </c>
      <c r="B242" s="968" t="s">
        <v>188</v>
      </c>
      <c r="C242" s="1240" t="s">
        <v>220</v>
      </c>
      <c r="D242" s="972" t="s">
        <v>199</v>
      </c>
      <c r="E242" s="1318">
        <v>112.2</v>
      </c>
      <c r="F242" s="1308">
        <f>0.001*14.8</f>
        <v>1.4800000000000001E-2</v>
      </c>
      <c r="G242" s="1309"/>
      <c r="H242" s="1310"/>
      <c r="I242" s="1321">
        <f>0.001*4.98</f>
        <v>4.9800000000000009E-3</v>
      </c>
      <c r="J242" s="1322"/>
      <c r="K242" s="1323"/>
      <c r="L242" s="342"/>
      <c r="M242" s="178"/>
      <c r="N242" s="407"/>
      <c r="O242" s="548"/>
      <c r="P242" s="548"/>
      <c r="Q242" s="547"/>
      <c r="R242" s="551">
        <f>F243+I243</f>
        <v>5.0637193800000008E-2</v>
      </c>
      <c r="S242" s="1070">
        <f>R242+R243</f>
        <v>0.80938991469120014</v>
      </c>
      <c r="T242" s="1070">
        <f>E242*S242</f>
        <v>90.813548428352661</v>
      </c>
      <c r="U242" s="1311">
        <f>R243*E242</f>
        <v>85.132055283992656</v>
      </c>
      <c r="V242" s="276">
        <f t="shared" si="14"/>
        <v>1.074818957869059</v>
      </c>
      <c r="W242" s="277">
        <f t="shared" si="15"/>
        <v>120.59468707290843</v>
      </c>
      <c r="X242" s="422"/>
      <c r="Y242" s="157"/>
      <c r="Z242" s="159"/>
      <c r="AA242" s="159"/>
      <c r="AB242" s="159"/>
      <c r="AC242" s="159"/>
      <c r="AD242" s="159"/>
      <c r="AE242" s="159"/>
      <c r="AF242" s="159"/>
      <c r="AG242" s="159"/>
      <c r="AH242" s="159"/>
      <c r="AI242" s="159"/>
      <c r="AJ242" s="159"/>
      <c r="AK242" s="159"/>
      <c r="AL242" s="159"/>
    </row>
    <row r="243" spans="1:39" s="416" customFormat="1" ht="14.25" customHeight="1">
      <c r="A243" s="1059"/>
      <c r="B243" s="995"/>
      <c r="C243" s="1317"/>
      <c r="D243" s="997"/>
      <c r="E243" s="1319"/>
      <c r="F243" s="1070">
        <f>F242*J$13/1000</f>
        <v>3.4587600000000003E-2</v>
      </c>
      <c r="G243" s="1070"/>
      <c r="H243" s="1070"/>
      <c r="I243" s="1070">
        <f>I242*$Q$13/1000</f>
        <v>1.6049593800000005E-2</v>
      </c>
      <c r="J243" s="1070"/>
      <c r="K243" s="1070"/>
      <c r="L243" s="252" t="s">
        <v>208</v>
      </c>
      <c r="M243" s="253" t="s">
        <v>124</v>
      </c>
      <c r="N243" s="409">
        <v>1</v>
      </c>
      <c r="O243" s="255">
        <f>E242*N243</f>
        <v>112.2</v>
      </c>
      <c r="P243" s="239">
        <v>0.65</v>
      </c>
      <c r="Q243" s="256">
        <f>N243*P243*$N$11</f>
        <v>0.74912701500000023</v>
      </c>
      <c r="R243" s="1070">
        <f>SUM(Q243:Q245)</f>
        <v>0.75875272089120016</v>
      </c>
      <c r="S243" s="1070"/>
      <c r="T243" s="1070"/>
      <c r="U243" s="1311"/>
      <c r="V243" s="276">
        <f t="shared" si="14"/>
        <v>0</v>
      </c>
      <c r="W243" s="277">
        <f t="shared" si="15"/>
        <v>0</v>
      </c>
      <c r="X243" s="422"/>
      <c r="Y243" s="157"/>
      <c r="Z243" s="159"/>
      <c r="AA243" s="159"/>
      <c r="AB243" s="159"/>
      <c r="AC243" s="159"/>
      <c r="AD243" s="159"/>
      <c r="AE243" s="159"/>
      <c r="AF243" s="159"/>
      <c r="AG243" s="159"/>
      <c r="AH243" s="159"/>
      <c r="AI243" s="159"/>
      <c r="AJ243" s="159"/>
      <c r="AK243" s="159"/>
      <c r="AL243" s="159"/>
    </row>
    <row r="244" spans="1:39" s="416" customFormat="1" ht="14.25" customHeight="1">
      <c r="A244" s="1059"/>
      <c r="B244" s="995"/>
      <c r="C244" s="1317"/>
      <c r="D244" s="997"/>
      <c r="E244" s="1319"/>
      <c r="F244" s="1070"/>
      <c r="G244" s="1070"/>
      <c r="H244" s="1070"/>
      <c r="I244" s="1070"/>
      <c r="J244" s="1070"/>
      <c r="K244" s="1070"/>
      <c r="L244" s="262" t="s">
        <v>190</v>
      </c>
      <c r="M244" s="263" t="s">
        <v>124</v>
      </c>
      <c r="N244" s="410">
        <v>4.0000000000000001E-3</v>
      </c>
      <c r="O244" s="264">
        <f>E242*N244</f>
        <v>0.44880000000000003</v>
      </c>
      <c r="P244" s="240">
        <v>0.89400000000000002</v>
      </c>
      <c r="Q244" s="415">
        <f t="shared" ref="Q244:Q245" si="18">N244*P244*$N$11</f>
        <v>4.1213510856000016E-3</v>
      </c>
      <c r="R244" s="1070"/>
      <c r="S244" s="1070"/>
      <c r="T244" s="1070"/>
      <c r="U244" s="1311"/>
      <c r="V244" s="276">
        <f t="shared" si="14"/>
        <v>0</v>
      </c>
      <c r="W244" s="277">
        <f t="shared" si="15"/>
        <v>0</v>
      </c>
      <c r="X244" s="422"/>
      <c r="Y244" s="157"/>
      <c r="Z244" s="159"/>
      <c r="AA244" s="159"/>
      <c r="AB244" s="159"/>
      <c r="AC244" s="159"/>
      <c r="AD244" s="159"/>
      <c r="AE244" s="159"/>
      <c r="AF244" s="159"/>
      <c r="AG244" s="159"/>
      <c r="AH244" s="159"/>
      <c r="AI244" s="159"/>
      <c r="AJ244" s="159"/>
      <c r="AK244" s="159"/>
      <c r="AL244" s="159"/>
    </row>
    <row r="245" spans="1:39" s="416" customFormat="1" ht="14.25" customHeight="1">
      <c r="A245" s="1060"/>
      <c r="B245" s="969"/>
      <c r="C245" s="1241"/>
      <c r="D245" s="973"/>
      <c r="E245" s="1320"/>
      <c r="F245" s="1070"/>
      <c r="G245" s="1070"/>
      <c r="H245" s="1070"/>
      <c r="I245" s="1070"/>
      <c r="J245" s="1070"/>
      <c r="K245" s="1070"/>
      <c r="L245" s="266" t="s">
        <v>209</v>
      </c>
      <c r="M245" s="257" t="s">
        <v>124</v>
      </c>
      <c r="N245" s="411">
        <v>4.0000000000000001E-3</v>
      </c>
      <c r="O245" s="259">
        <f>E242*N245</f>
        <v>0.44880000000000003</v>
      </c>
      <c r="P245" s="414">
        <v>1.194</v>
      </c>
      <c r="Q245" s="261">
        <f t="shared" si="18"/>
        <v>5.5043548056000011E-3</v>
      </c>
      <c r="R245" s="1070"/>
      <c r="S245" s="1070"/>
      <c r="T245" s="1070"/>
      <c r="U245" s="1311"/>
      <c r="V245" s="276">
        <f t="shared" si="14"/>
        <v>0</v>
      </c>
      <c r="W245" s="277">
        <f t="shared" si="15"/>
        <v>0</v>
      </c>
      <c r="X245" s="422"/>
      <c r="Y245" s="157"/>
      <c r="Z245" s="159"/>
      <c r="AA245" s="159"/>
      <c r="AB245" s="159"/>
      <c r="AC245" s="159"/>
      <c r="AD245" s="159"/>
      <c r="AE245" s="159"/>
      <c r="AF245" s="159"/>
      <c r="AG245" s="159"/>
      <c r="AH245" s="159"/>
      <c r="AI245" s="159"/>
      <c r="AJ245" s="159"/>
      <c r="AK245" s="159"/>
      <c r="AL245" s="159"/>
    </row>
    <row r="246" spans="1:39" s="157" customFormat="1" ht="14.25" customHeight="1">
      <c r="A246" s="1058">
        <f>+A242+1</f>
        <v>10</v>
      </c>
      <c r="B246" s="1136" t="s">
        <v>127</v>
      </c>
      <c r="C246" s="1316" t="s">
        <v>306</v>
      </c>
      <c r="D246" s="972" t="s">
        <v>195</v>
      </c>
      <c r="E246" s="990">
        <v>310</v>
      </c>
      <c r="F246" s="999">
        <f>4.1/100</f>
        <v>4.0999999999999995E-2</v>
      </c>
      <c r="G246" s="1000"/>
      <c r="H246" s="1001"/>
      <c r="I246" s="999">
        <f>0.4/100</f>
        <v>4.0000000000000001E-3</v>
      </c>
      <c r="J246" s="1000"/>
      <c r="K246" s="1001"/>
      <c r="L246" s="269"/>
      <c r="M246" s="178"/>
      <c r="N246" s="548"/>
      <c r="O246" s="548"/>
      <c r="P246" s="548"/>
      <c r="Q246" s="547"/>
      <c r="R246" s="552">
        <f>F247+I247</f>
        <v>0.10870824</v>
      </c>
      <c r="S246" s="979">
        <f>R246+R247</f>
        <v>0.19148698858400004</v>
      </c>
      <c r="T246" s="979">
        <f>E246*S246</f>
        <v>59.360966461040015</v>
      </c>
      <c r="U246" s="1144">
        <f>R247*E246</f>
        <v>25.661412061040007</v>
      </c>
      <c r="V246" s="276">
        <f t="shared" si="14"/>
        <v>0.2542826909251294</v>
      </c>
      <c r="W246" s="277">
        <f t="shared" si="15"/>
        <v>78.827634186790107</v>
      </c>
      <c r="X246" s="422"/>
      <c r="Y246" s="242"/>
    </row>
    <row r="247" spans="1:39" s="157" customFormat="1" ht="14.25" customHeight="1">
      <c r="A247" s="1059"/>
      <c r="B247" s="1136"/>
      <c r="C247" s="1316"/>
      <c r="D247" s="997"/>
      <c r="E247" s="998"/>
      <c r="F247" s="1017">
        <f>F246*J$13/1000</f>
        <v>9.5816999999999999E-2</v>
      </c>
      <c r="G247" s="1018"/>
      <c r="H247" s="1016"/>
      <c r="I247" s="1017">
        <f>I246*$Q$13/1000</f>
        <v>1.289124E-2</v>
      </c>
      <c r="J247" s="1018"/>
      <c r="K247" s="1016"/>
      <c r="L247" s="345" t="s">
        <v>128</v>
      </c>
      <c r="M247" s="253" t="s">
        <v>124</v>
      </c>
      <c r="N247" s="268">
        <v>0.03</v>
      </c>
      <c r="O247" s="343">
        <f>E246*N247</f>
        <v>9.2999999999999989</v>
      </c>
      <c r="P247" s="344">
        <f>0.542*2</f>
        <v>1.0840000000000001</v>
      </c>
      <c r="Q247" s="236">
        <f>N247*P247*$N$11</f>
        <v>3.7479400812000012E-2</v>
      </c>
      <c r="R247" s="979">
        <f>SUM(Q247:Q248)</f>
        <v>8.2778748584000028E-2</v>
      </c>
      <c r="S247" s="1002"/>
      <c r="T247" s="1002"/>
      <c r="U247" s="1144"/>
      <c r="V247" s="276">
        <f t="shared" si="14"/>
        <v>0</v>
      </c>
      <c r="W247" s="277">
        <f t="shared" si="15"/>
        <v>0</v>
      </c>
      <c r="X247" s="422"/>
      <c r="Y247" s="242"/>
    </row>
    <row r="248" spans="1:39" s="157" customFormat="1" ht="14.25" customHeight="1">
      <c r="A248" s="1060"/>
      <c r="B248" s="1136"/>
      <c r="C248" s="1316"/>
      <c r="D248" s="973"/>
      <c r="E248" s="991"/>
      <c r="F248" s="985"/>
      <c r="G248" s="986"/>
      <c r="H248" s="987"/>
      <c r="I248" s="985"/>
      <c r="J248" s="986"/>
      <c r="K248" s="987"/>
      <c r="L248" s="346" t="s">
        <v>129</v>
      </c>
      <c r="M248" s="257" t="s">
        <v>124</v>
      </c>
      <c r="N248" s="258">
        <f>17.2/100</f>
        <v>0.17199999999999999</v>
      </c>
      <c r="O248" s="259">
        <f>E246*N248</f>
        <v>53.319999999999993</v>
      </c>
      <c r="P248" s="358">
        <f>0.617/2.7</f>
        <v>0.22851851851851851</v>
      </c>
      <c r="Q248" s="347">
        <f>N248*P248*$N$11</f>
        <v>4.5299347772000009E-2</v>
      </c>
      <c r="R248" s="980"/>
      <c r="S248" s="980"/>
      <c r="T248" s="980"/>
      <c r="U248" s="1144"/>
      <c r="V248" s="276">
        <f t="shared" si="14"/>
        <v>0</v>
      </c>
      <c r="W248" s="277">
        <f t="shared" si="15"/>
        <v>0</v>
      </c>
      <c r="X248" s="422"/>
      <c r="Y248" s="242"/>
    </row>
    <row r="249" spans="1:39" s="157" customFormat="1" ht="14.25" customHeight="1">
      <c r="A249" s="1324">
        <f>+A246+1</f>
        <v>11</v>
      </c>
      <c r="B249" s="968" t="s">
        <v>147</v>
      </c>
      <c r="C249" s="1326" t="s">
        <v>307</v>
      </c>
      <c r="D249" s="972" t="s">
        <v>195</v>
      </c>
      <c r="E249" s="990">
        <f>+E246</f>
        <v>310</v>
      </c>
      <c r="F249" s="999">
        <f>21.4/100</f>
        <v>0.214</v>
      </c>
      <c r="G249" s="1000"/>
      <c r="H249" s="1001"/>
      <c r="I249" s="1039">
        <f>0.03/100</f>
        <v>2.9999999999999997E-4</v>
      </c>
      <c r="J249" s="1040"/>
      <c r="K249" s="1041"/>
      <c r="L249" s="269"/>
      <c r="M249" s="178"/>
      <c r="N249" s="548"/>
      <c r="O249" s="548"/>
      <c r="P249" s="548"/>
      <c r="Q249" s="547"/>
      <c r="R249" s="552">
        <f>F250+I250</f>
        <v>0.501084843</v>
      </c>
      <c r="S249" s="979">
        <f>R249+R250</f>
        <v>0.89437652587500016</v>
      </c>
      <c r="T249" s="979">
        <f>E249*S249</f>
        <v>277.25672302125002</v>
      </c>
      <c r="U249" s="1144">
        <f>R250*E249</f>
        <v>121.92042169125006</v>
      </c>
      <c r="V249" s="276">
        <f t="shared" si="14"/>
        <v>1.1876758383507549</v>
      </c>
      <c r="W249" s="277">
        <f t="shared" si="15"/>
        <v>368.179509888734</v>
      </c>
      <c r="X249" s="422"/>
    </row>
    <row r="250" spans="1:39" s="157" customFormat="1" ht="14.25" customHeight="1">
      <c r="A250" s="1325"/>
      <c r="B250" s="969"/>
      <c r="C250" s="1327"/>
      <c r="D250" s="973"/>
      <c r="E250" s="991"/>
      <c r="F250" s="976">
        <f>F249*J$13/1000</f>
        <v>0.50011799999999995</v>
      </c>
      <c r="G250" s="977"/>
      <c r="H250" s="978"/>
      <c r="I250" s="1039">
        <f>I249*$Q$13/1000</f>
        <v>9.6684299999999989E-4</v>
      </c>
      <c r="J250" s="1040"/>
      <c r="K250" s="1041"/>
      <c r="L250" s="360" t="s">
        <v>130</v>
      </c>
      <c r="M250" s="246" t="s">
        <v>124</v>
      </c>
      <c r="N250" s="243">
        <f>27.3/100</f>
        <v>0.27300000000000002</v>
      </c>
      <c r="O250" s="343">
        <f>E249*N250</f>
        <v>84.63000000000001</v>
      </c>
      <c r="P250" s="243">
        <v>1.25</v>
      </c>
      <c r="Q250" s="248">
        <f>N250*P250*$N$11</f>
        <v>0.39329168287500016</v>
      </c>
      <c r="R250" s="549">
        <f>SUM(Q250:Q250)</f>
        <v>0.39329168287500016</v>
      </c>
      <c r="S250" s="980"/>
      <c r="T250" s="980"/>
      <c r="U250" s="1144"/>
      <c r="V250" s="276">
        <f t="shared" si="14"/>
        <v>0</v>
      </c>
      <c r="W250" s="277">
        <f t="shared" si="15"/>
        <v>0</v>
      </c>
      <c r="X250" s="422"/>
    </row>
    <row r="251" spans="1:39" s="535" customFormat="1" ht="14.25" customHeight="1">
      <c r="A251" s="1356">
        <f>+A249+1</f>
        <v>12</v>
      </c>
      <c r="B251" s="1027" t="s">
        <v>279</v>
      </c>
      <c r="C251" s="970" t="s">
        <v>323</v>
      </c>
      <c r="D251" s="972" t="s">
        <v>197</v>
      </c>
      <c r="E251" s="1005">
        <v>2</v>
      </c>
      <c r="F251" s="1007">
        <v>0.31</v>
      </c>
      <c r="G251" s="1008"/>
      <c r="H251" s="1009"/>
      <c r="I251" s="1007">
        <v>0.31</v>
      </c>
      <c r="J251" s="1008"/>
      <c r="K251" s="1009"/>
      <c r="L251" s="529"/>
      <c r="M251" s="530"/>
      <c r="N251" s="531"/>
      <c r="O251" s="531"/>
      <c r="P251" s="532"/>
      <c r="Q251" s="533"/>
      <c r="R251" s="534">
        <f>F252+I252</f>
        <v>1.7235411</v>
      </c>
      <c r="S251" s="1010">
        <f>R251+R252</f>
        <v>8.4464758500000023</v>
      </c>
      <c r="T251" s="1010">
        <f>E251*S251</f>
        <v>16.892951700000005</v>
      </c>
      <c r="U251" s="1012">
        <f>+R252*E251</f>
        <v>13.445869500000006</v>
      </c>
      <c r="V251" s="276">
        <f t="shared" si="14"/>
        <v>11.216389290230772</v>
      </c>
      <c r="W251" s="277">
        <f t="shared" si="15"/>
        <v>22.432778580461544</v>
      </c>
      <c r="X251" s="422"/>
    </row>
    <row r="252" spans="1:39" s="535" customFormat="1" ht="14.25" customHeight="1">
      <c r="A252" s="1357"/>
      <c r="B252" s="1028"/>
      <c r="C252" s="996"/>
      <c r="D252" s="997"/>
      <c r="E252" s="1006"/>
      <c r="F252" s="1007">
        <f>F251*$J$13/1000</f>
        <v>0.72447000000000006</v>
      </c>
      <c r="G252" s="1008"/>
      <c r="H252" s="1009"/>
      <c r="I252" s="1007">
        <f>I251*$Q$13/1000</f>
        <v>0.99907109999999999</v>
      </c>
      <c r="J252" s="1008"/>
      <c r="K252" s="1009"/>
      <c r="L252" s="536" t="s">
        <v>273</v>
      </c>
      <c r="M252" s="537" t="s">
        <v>164</v>
      </c>
      <c r="N252" s="538">
        <v>1</v>
      </c>
      <c r="O252" s="539">
        <f>E251*N252</f>
        <v>2</v>
      </c>
      <c r="P252" s="470">
        <f>7/1.2</f>
        <v>5.8333333333333339</v>
      </c>
      <c r="Q252" s="540">
        <f>N252*P252*$N$11</f>
        <v>6.722934750000003</v>
      </c>
      <c r="R252" s="541">
        <f>+Q252</f>
        <v>6.722934750000003</v>
      </c>
      <c r="S252" s="1011"/>
      <c r="T252" s="1011"/>
      <c r="U252" s="1013"/>
      <c r="V252" s="276">
        <f t="shared" si="14"/>
        <v>0</v>
      </c>
      <c r="W252" s="277">
        <f t="shared" si="15"/>
        <v>0</v>
      </c>
      <c r="X252" s="422"/>
    </row>
    <row r="253" spans="1:39" s="210" customFormat="1" ht="14.25" customHeight="1">
      <c r="A253" s="1356">
        <f t="shared" ref="A253" si="19">+A251+1</f>
        <v>13</v>
      </c>
      <c r="B253" s="968" t="s">
        <v>280</v>
      </c>
      <c r="C253" s="970" t="s">
        <v>324</v>
      </c>
      <c r="D253" s="972" t="s">
        <v>197</v>
      </c>
      <c r="E253" s="974">
        <v>1</v>
      </c>
      <c r="F253" s="1017">
        <v>1.31</v>
      </c>
      <c r="G253" s="1018"/>
      <c r="H253" s="1016"/>
      <c r="I253" s="1017">
        <v>0.09</v>
      </c>
      <c r="J253" s="1018"/>
      <c r="K253" s="1016"/>
      <c r="L253" s="339"/>
      <c r="M253" s="178"/>
      <c r="N253" s="542"/>
      <c r="O253" s="542"/>
      <c r="P253" s="469"/>
      <c r="Q253" s="547"/>
      <c r="R253" s="552">
        <f>F254+I254</f>
        <v>3.3515229000000004</v>
      </c>
      <c r="S253" s="979">
        <f>R253+R254</f>
        <v>76.34338590000003</v>
      </c>
      <c r="T253" s="979">
        <f>E253*S253</f>
        <v>76.34338590000003</v>
      </c>
      <c r="U253" s="1016">
        <f>R254*E253</f>
        <v>72.991863000000023</v>
      </c>
      <c r="V253" s="276">
        <f t="shared" si="14"/>
        <v>101.3792203038993</v>
      </c>
      <c r="W253" s="277">
        <f t="shared" si="15"/>
        <v>101.3792203038993</v>
      </c>
      <c r="X253" s="422"/>
    </row>
    <row r="254" spans="1:39" s="210" customFormat="1" ht="14.25" customHeight="1">
      <c r="A254" s="1357"/>
      <c r="B254" s="969"/>
      <c r="C254" s="996"/>
      <c r="D254" s="997"/>
      <c r="E254" s="975"/>
      <c r="F254" s="976">
        <f>F253*$J$13/1000</f>
        <v>3.0614700000000004</v>
      </c>
      <c r="G254" s="977"/>
      <c r="H254" s="978"/>
      <c r="I254" s="976">
        <f>I253*$Q$13/1000</f>
        <v>0.29005289999999995</v>
      </c>
      <c r="J254" s="977"/>
      <c r="K254" s="978"/>
      <c r="L254" s="543" t="s">
        <v>281</v>
      </c>
      <c r="M254" s="246" t="s">
        <v>164</v>
      </c>
      <c r="N254" s="544">
        <v>1</v>
      </c>
      <c r="O254" s="545">
        <f>E253*N254</f>
        <v>1</v>
      </c>
      <c r="P254" s="341">
        <f>76/1.2</f>
        <v>63.333333333333336</v>
      </c>
      <c r="Q254" s="248">
        <f>N254*P254*$N$11</f>
        <v>72.991863000000023</v>
      </c>
      <c r="R254" s="552">
        <f>SUM(Q254:Q254)</f>
        <v>72.991863000000023</v>
      </c>
      <c r="S254" s="980"/>
      <c r="T254" s="980"/>
      <c r="U254" s="987"/>
      <c r="V254" s="276">
        <f t="shared" si="14"/>
        <v>0</v>
      </c>
      <c r="W254" s="277">
        <f t="shared" si="15"/>
        <v>0</v>
      </c>
      <c r="X254" s="422"/>
    </row>
    <row r="255" spans="1:39" s="338" customFormat="1" ht="14.25" customHeight="1">
      <c r="A255" s="1058">
        <f>1+A253</f>
        <v>14</v>
      </c>
      <c r="B255" s="968" t="s">
        <v>163</v>
      </c>
      <c r="C255" s="1244" t="s">
        <v>309</v>
      </c>
      <c r="D255" s="1242" t="s">
        <v>194</v>
      </c>
      <c r="E255" s="974">
        <v>502</v>
      </c>
      <c r="F255" s="976">
        <v>0.27</v>
      </c>
      <c r="G255" s="977"/>
      <c r="H255" s="978"/>
      <c r="I255" s="976">
        <v>0.17</v>
      </c>
      <c r="J255" s="977"/>
      <c r="K255" s="978"/>
      <c r="L255" s="270"/>
      <c r="M255" s="178"/>
      <c r="N255" s="548"/>
      <c r="O255" s="548"/>
      <c r="P255" s="271"/>
      <c r="Q255" s="554"/>
      <c r="R255" s="552">
        <f>F256+I256</f>
        <v>1.1788677000000001</v>
      </c>
      <c r="S255" s="979">
        <f>R255+R256</f>
        <v>7.6132925073000024</v>
      </c>
      <c r="T255" s="979">
        <f>E255*S255</f>
        <v>3821.8728386646012</v>
      </c>
      <c r="U255" s="992">
        <f>E255*R256</f>
        <v>3230.0812532646009</v>
      </c>
      <c r="V255" s="276">
        <f t="shared" si="14"/>
        <v>10.109974154756378</v>
      </c>
      <c r="W255" s="277">
        <f t="shared" si="15"/>
        <v>5075.2070256877014</v>
      </c>
      <c r="X255" s="422"/>
      <c r="Y255" s="157"/>
      <c r="Z255" s="157"/>
      <c r="AA255" s="157"/>
      <c r="AB255" s="157"/>
      <c r="AC255" s="157"/>
      <c r="AD255" s="157"/>
      <c r="AE255" s="157"/>
      <c r="AF255" s="157"/>
      <c r="AG255" s="157"/>
      <c r="AH255" s="157"/>
      <c r="AI255" s="157"/>
      <c r="AJ255" s="157"/>
      <c r="AK255" s="157"/>
      <c r="AL255" s="157"/>
      <c r="AM255" s="157"/>
    </row>
    <row r="256" spans="1:39" s="338" customFormat="1" ht="14.25" customHeight="1">
      <c r="A256" s="1060"/>
      <c r="B256" s="969"/>
      <c r="C256" s="1244"/>
      <c r="D256" s="1242"/>
      <c r="E256" s="975"/>
      <c r="F256" s="976">
        <f>F255*$J$13/1000</f>
        <v>0.63099000000000005</v>
      </c>
      <c r="G256" s="977"/>
      <c r="H256" s="978"/>
      <c r="I256" s="976">
        <f>I255*$Q$13/1000</f>
        <v>0.54787770000000002</v>
      </c>
      <c r="J256" s="977"/>
      <c r="K256" s="978"/>
      <c r="L256" s="251" t="s">
        <v>268</v>
      </c>
      <c r="M256" s="246" t="s">
        <v>116</v>
      </c>
      <c r="N256" s="247">
        <v>1</v>
      </c>
      <c r="O256" s="250">
        <f>E255*N256</f>
        <v>502</v>
      </c>
      <c r="P256" s="243">
        <v>5.5830000000000002</v>
      </c>
      <c r="Q256" s="248">
        <f>N256*P256*$N$11</f>
        <v>6.4344248073000019</v>
      </c>
      <c r="R256" s="549">
        <f>SUM(Q256:Q256)</f>
        <v>6.4344248073000019</v>
      </c>
      <c r="S256" s="980"/>
      <c r="T256" s="980"/>
      <c r="U256" s="993"/>
      <c r="V256" s="276">
        <f t="shared" si="14"/>
        <v>0</v>
      </c>
      <c r="W256" s="277">
        <f t="shared" si="15"/>
        <v>0</v>
      </c>
      <c r="X256" s="422"/>
      <c r="Y256" s="157"/>
      <c r="Z256" s="157"/>
      <c r="AA256" s="157"/>
      <c r="AB256" s="157"/>
      <c r="AC256" s="157"/>
      <c r="AD256" s="157"/>
      <c r="AE256" s="157"/>
      <c r="AF256" s="157"/>
      <c r="AG256" s="157"/>
      <c r="AH256" s="157"/>
      <c r="AI256" s="157"/>
      <c r="AJ256" s="157"/>
      <c r="AK256" s="157"/>
      <c r="AL256" s="157"/>
      <c r="AM256" s="157"/>
    </row>
    <row r="257" spans="1:39" s="210" customFormat="1" ht="14.25" customHeight="1">
      <c r="A257" s="1058">
        <f t="shared" ref="A257" si="20">+A255+1</f>
        <v>15</v>
      </c>
      <c r="B257" s="968" t="s">
        <v>163</v>
      </c>
      <c r="C257" s="1358" t="s">
        <v>317</v>
      </c>
      <c r="D257" s="972" t="s">
        <v>194</v>
      </c>
      <c r="E257" s="974">
        <v>293</v>
      </c>
      <c r="F257" s="976">
        <v>0.27</v>
      </c>
      <c r="G257" s="977"/>
      <c r="H257" s="978"/>
      <c r="I257" s="976">
        <v>0.17</v>
      </c>
      <c r="J257" s="977"/>
      <c r="K257" s="978"/>
      <c r="L257" s="270"/>
      <c r="M257" s="178"/>
      <c r="N257" s="548"/>
      <c r="O257" s="548"/>
      <c r="P257" s="271"/>
      <c r="Q257" s="554"/>
      <c r="R257" s="552">
        <f>F258+I258</f>
        <v>1.1788677000000001</v>
      </c>
      <c r="S257" s="979">
        <f>R257+R258</f>
        <v>5.1192757989000013</v>
      </c>
      <c r="T257" s="979">
        <f>E257*S257</f>
        <v>1499.9478090777004</v>
      </c>
      <c r="U257" s="992">
        <f>E257*R258</f>
        <v>1154.5395729777003</v>
      </c>
      <c r="V257" s="276">
        <f t="shared" si="14"/>
        <v>6.7980766492713691</v>
      </c>
      <c r="W257" s="277">
        <f t="shared" si="15"/>
        <v>1991.8364582365111</v>
      </c>
      <c r="X257" s="422"/>
      <c r="Y257" s="157"/>
      <c r="Z257" s="157"/>
      <c r="AA257" s="157"/>
      <c r="AB257" s="157"/>
      <c r="AC257" s="157"/>
      <c r="AD257" s="157"/>
      <c r="AE257" s="157"/>
      <c r="AF257" s="157"/>
      <c r="AG257" s="157"/>
      <c r="AH257" s="157"/>
      <c r="AI257" s="157"/>
      <c r="AJ257" s="157"/>
      <c r="AK257" s="157"/>
      <c r="AL257" s="157"/>
      <c r="AM257" s="157"/>
    </row>
    <row r="258" spans="1:39" s="210" customFormat="1" ht="14.25" customHeight="1">
      <c r="A258" s="1060"/>
      <c r="B258" s="969"/>
      <c r="C258" s="1359"/>
      <c r="D258" s="973"/>
      <c r="E258" s="975"/>
      <c r="F258" s="976">
        <f>F257*$J$13/1000</f>
        <v>0.63099000000000005</v>
      </c>
      <c r="G258" s="977"/>
      <c r="H258" s="978"/>
      <c r="I258" s="976">
        <f>I257*$Q$13/1000</f>
        <v>0.54787770000000002</v>
      </c>
      <c r="J258" s="977"/>
      <c r="K258" s="978"/>
      <c r="L258" s="251" t="s">
        <v>271</v>
      </c>
      <c r="M258" s="246" t="s">
        <v>116</v>
      </c>
      <c r="N258" s="247">
        <v>1</v>
      </c>
      <c r="O258" s="250">
        <f>E257*N258</f>
        <v>293</v>
      </c>
      <c r="P258" s="243">
        <v>3.419</v>
      </c>
      <c r="Q258" s="248">
        <f>N258*P258*$N$11</f>
        <v>3.9404080989000012</v>
      </c>
      <c r="R258" s="549">
        <f>SUM(Q258:Q258)</f>
        <v>3.9404080989000012</v>
      </c>
      <c r="S258" s="980"/>
      <c r="T258" s="980"/>
      <c r="U258" s="993"/>
      <c r="V258" s="276">
        <f t="shared" si="14"/>
        <v>0</v>
      </c>
      <c r="W258" s="277">
        <f t="shared" si="15"/>
        <v>0</v>
      </c>
      <c r="X258" s="422"/>
      <c r="Y258" s="157"/>
      <c r="Z258" s="157"/>
      <c r="AA258" s="157"/>
      <c r="AB258" s="157"/>
      <c r="AC258" s="157"/>
      <c r="AD258" s="157"/>
      <c r="AE258" s="157"/>
      <c r="AF258" s="157"/>
      <c r="AG258" s="157"/>
      <c r="AH258" s="157"/>
      <c r="AI258" s="157"/>
      <c r="AJ258" s="157"/>
      <c r="AK258" s="157"/>
      <c r="AL258" s="157"/>
      <c r="AM258" s="157"/>
    </row>
    <row r="259" spans="1:39" s="157" customFormat="1" ht="14.25" customHeight="1">
      <c r="A259" s="1324">
        <f>+A257+1</f>
        <v>16</v>
      </c>
      <c r="B259" s="968" t="s">
        <v>148</v>
      </c>
      <c r="C259" s="970" t="s">
        <v>198</v>
      </c>
      <c r="D259" s="972" t="s">
        <v>199</v>
      </c>
      <c r="E259" s="990">
        <f>67.2+13+0.9+1</f>
        <v>82.100000000000009</v>
      </c>
      <c r="F259" s="1053">
        <f>0.001*190</f>
        <v>0.19</v>
      </c>
      <c r="G259" s="1054"/>
      <c r="H259" s="1055"/>
      <c r="I259" s="1053">
        <f>0.001*162</f>
        <v>0.16200000000000001</v>
      </c>
      <c r="J259" s="1054"/>
      <c r="K259" s="1055"/>
      <c r="L259" s="339"/>
      <c r="M259" s="178"/>
      <c r="N259" s="548"/>
      <c r="O259" s="548"/>
      <c r="P259" s="548"/>
      <c r="Q259" s="547"/>
      <c r="R259" s="552">
        <f>F260+I260</f>
        <v>0.96612522000000012</v>
      </c>
      <c r="S259" s="979">
        <f>R259+R260</f>
        <v>2.3491289400000004</v>
      </c>
      <c r="T259" s="979">
        <f>E259*S259</f>
        <v>192.86348597400004</v>
      </c>
      <c r="U259" s="1048">
        <f>R260*E259</f>
        <v>113.54460541200004</v>
      </c>
      <c r="V259" s="276">
        <f t="shared" si="14"/>
        <v>3.1194956514304324</v>
      </c>
      <c r="W259" s="277">
        <f t="shared" si="15"/>
        <v>256.1105929824385</v>
      </c>
      <c r="X259" s="422"/>
      <c r="Y259" s="242"/>
    </row>
    <row r="260" spans="1:39" s="157" customFormat="1" ht="14.25" customHeight="1">
      <c r="A260" s="1325"/>
      <c r="B260" s="969"/>
      <c r="C260" s="971"/>
      <c r="D260" s="973"/>
      <c r="E260" s="991"/>
      <c r="F260" s="976">
        <f>F259*J$13/1000</f>
        <v>0.44403000000000004</v>
      </c>
      <c r="G260" s="977"/>
      <c r="H260" s="978"/>
      <c r="I260" s="976">
        <f>I259*$Q$13/1000</f>
        <v>0.52209522000000008</v>
      </c>
      <c r="J260" s="977"/>
      <c r="K260" s="978"/>
      <c r="L260" s="340" t="s">
        <v>149</v>
      </c>
      <c r="M260" s="246" t="s">
        <v>124</v>
      </c>
      <c r="N260" s="341">
        <v>1</v>
      </c>
      <c r="O260" s="250">
        <f>E259*N260</f>
        <v>82.100000000000009</v>
      </c>
      <c r="P260" s="243">
        <v>1.2</v>
      </c>
      <c r="Q260" s="248">
        <f>N260*P260*$N$11</f>
        <v>1.3830037200000003</v>
      </c>
      <c r="R260" s="552">
        <f>SUM(Q260:Q260)</f>
        <v>1.3830037200000003</v>
      </c>
      <c r="S260" s="980"/>
      <c r="T260" s="980"/>
      <c r="U260" s="1049"/>
      <c r="V260" s="276">
        <f t="shared" si="14"/>
        <v>0</v>
      </c>
      <c r="W260" s="277">
        <f t="shared" si="15"/>
        <v>0</v>
      </c>
      <c r="X260" s="422"/>
      <c r="Y260" s="242"/>
    </row>
    <row r="261" spans="1:39" s="416" customFormat="1" ht="14.25" customHeight="1">
      <c r="A261" s="1339">
        <f>+A259+1</f>
        <v>17</v>
      </c>
      <c r="B261" s="1340" t="s">
        <v>276</v>
      </c>
      <c r="C261" s="1341" t="s">
        <v>320</v>
      </c>
      <c r="D261" s="1242" t="s">
        <v>197</v>
      </c>
      <c r="E261" s="1342">
        <v>1</v>
      </c>
      <c r="F261" s="1094">
        <f>0.6*0.33*11</f>
        <v>2.1779999999999999</v>
      </c>
      <c r="G261" s="1094"/>
      <c r="H261" s="1094"/>
      <c r="I261" s="1094">
        <f>0.6*0.14*11</f>
        <v>0.92400000000000004</v>
      </c>
      <c r="J261" s="1094"/>
      <c r="K261" s="1094"/>
      <c r="L261" s="269"/>
      <c r="M261" s="178"/>
      <c r="N261" s="548"/>
      <c r="O261" s="548"/>
      <c r="P261" s="548"/>
      <c r="Q261" s="547"/>
      <c r="R261" s="551">
        <f>F262+I262</f>
        <v>8.067862439999999</v>
      </c>
      <c r="S261" s="1070">
        <f>R261+R262</f>
        <v>9.6003496050706474</v>
      </c>
      <c r="T261" s="1070">
        <f>E261*S261</f>
        <v>9.6003496050706474</v>
      </c>
      <c r="U261" s="1070">
        <f>R262*E261</f>
        <v>1.532487165070648</v>
      </c>
      <c r="V261" s="276">
        <f t="shared" si="14"/>
        <v>12.748661146386349</v>
      </c>
      <c r="W261" s="277">
        <f t="shared" si="15"/>
        <v>12.748661146386349</v>
      </c>
      <c r="X261" s="422"/>
      <c r="Y261" s="157"/>
      <c r="Z261" s="159"/>
      <c r="AA261" s="159"/>
      <c r="AB261" s="159"/>
      <c r="AC261" s="159"/>
      <c r="AD261" s="159"/>
      <c r="AE261" s="159"/>
      <c r="AF261" s="159"/>
      <c r="AG261" s="159"/>
      <c r="AH261" s="159"/>
      <c r="AI261" s="159"/>
      <c r="AJ261" s="159"/>
      <c r="AK261" s="159"/>
      <c r="AL261" s="159"/>
    </row>
    <row r="262" spans="1:39" s="416" customFormat="1" ht="14.25" customHeight="1">
      <c r="A262" s="1339"/>
      <c r="B262" s="1340"/>
      <c r="C262" s="1341"/>
      <c r="D262" s="1242"/>
      <c r="E262" s="1342"/>
      <c r="F262" s="1070">
        <f>F261*J$13/1000</f>
        <v>5.0899859999999997</v>
      </c>
      <c r="G262" s="1070"/>
      <c r="H262" s="1070"/>
      <c r="I262" s="1070">
        <f>I261*$Q$13/1000</f>
        <v>2.9778764400000002</v>
      </c>
      <c r="J262" s="1070"/>
      <c r="K262" s="1070"/>
      <c r="L262" s="345" t="s">
        <v>239</v>
      </c>
      <c r="M262" s="253" t="s">
        <v>184</v>
      </c>
      <c r="N262" s="268">
        <f>0.133*3.14*115.05/1000</f>
        <v>4.8047181000000001E-2</v>
      </c>
      <c r="O262" s="343">
        <f>E261*N262</f>
        <v>4.8047181000000001E-2</v>
      </c>
      <c r="P262" s="239">
        <v>0.45800000000000002</v>
      </c>
      <c r="Q262" s="236">
        <f>N262*P262*$N$11</f>
        <v>2.5361532472332592E-2</v>
      </c>
      <c r="R262" s="1070">
        <f>SUM(Q262:Q263)</f>
        <v>1.532487165070648</v>
      </c>
      <c r="S262" s="1070"/>
      <c r="T262" s="1070"/>
      <c r="U262" s="1070"/>
      <c r="V262" s="276">
        <f t="shared" si="14"/>
        <v>0</v>
      </c>
      <c r="W262" s="277">
        <f t="shared" si="15"/>
        <v>0</v>
      </c>
      <c r="X262" s="422"/>
      <c r="Y262" s="157"/>
      <c r="Z262" s="159"/>
      <c r="AA262" s="159"/>
      <c r="AB262" s="159"/>
      <c r="AC262" s="159"/>
      <c r="AD262" s="159"/>
      <c r="AE262" s="159"/>
      <c r="AF262" s="159"/>
      <c r="AG262" s="159"/>
      <c r="AH262" s="159"/>
      <c r="AI262" s="159"/>
      <c r="AJ262" s="159"/>
      <c r="AK262" s="159"/>
      <c r="AL262" s="159"/>
    </row>
    <row r="263" spans="1:39" s="416" customFormat="1" ht="14.25" customHeight="1">
      <c r="A263" s="1339"/>
      <c r="B263" s="1340"/>
      <c r="C263" s="1341"/>
      <c r="D263" s="1242"/>
      <c r="E263" s="1342"/>
      <c r="F263" s="1070"/>
      <c r="G263" s="1070"/>
      <c r="H263" s="1070"/>
      <c r="I263" s="1070"/>
      <c r="J263" s="1070"/>
      <c r="K263" s="1070"/>
      <c r="L263" s="346" t="s">
        <v>264</v>
      </c>
      <c r="M263" s="257" t="s">
        <v>265</v>
      </c>
      <c r="N263" s="258">
        <f>0.133*3.14*14.43</f>
        <v>6.0262566000000009</v>
      </c>
      <c r="O263" s="259">
        <f>E261*N263</f>
        <v>6.0262566000000009</v>
      </c>
      <c r="P263" s="358">
        <v>0.217</v>
      </c>
      <c r="Q263" s="347">
        <f>N263*P263*$N$11</f>
        <v>1.5071256325983153</v>
      </c>
      <c r="R263" s="1070"/>
      <c r="S263" s="1070"/>
      <c r="T263" s="1070"/>
      <c r="U263" s="1070"/>
      <c r="V263" s="276">
        <f t="shared" si="14"/>
        <v>0</v>
      </c>
      <c r="W263" s="277">
        <f t="shared" si="15"/>
        <v>0</v>
      </c>
      <c r="X263" s="422"/>
      <c r="Y263" s="157"/>
      <c r="Z263" s="159"/>
      <c r="AA263" s="159"/>
      <c r="AB263" s="159"/>
      <c r="AC263" s="159"/>
      <c r="AD263" s="159"/>
      <c r="AE263" s="159"/>
      <c r="AF263" s="159"/>
      <c r="AG263" s="159"/>
      <c r="AH263" s="159"/>
      <c r="AI263" s="159"/>
      <c r="AJ263" s="159"/>
      <c r="AK263" s="159"/>
      <c r="AL263" s="159"/>
    </row>
    <row r="264" spans="1:39" s="156" customFormat="1" ht="14.25" customHeight="1">
      <c r="A264" s="1058">
        <f>+A261+1</f>
        <v>18</v>
      </c>
      <c r="B264" s="968" t="s">
        <v>125</v>
      </c>
      <c r="C264" s="970" t="s">
        <v>196</v>
      </c>
      <c r="D264" s="972" t="s">
        <v>194</v>
      </c>
      <c r="E264" s="990">
        <v>795</v>
      </c>
      <c r="F264" s="999">
        <f>0.001*5</f>
        <v>5.0000000000000001E-3</v>
      </c>
      <c r="G264" s="1000"/>
      <c r="H264" s="1001"/>
      <c r="I264" s="976">
        <f>0.001*20</f>
        <v>0.02</v>
      </c>
      <c r="J264" s="977"/>
      <c r="K264" s="978"/>
      <c r="L264" s="339"/>
      <c r="M264" s="178"/>
      <c r="N264" s="548"/>
      <c r="O264" s="548"/>
      <c r="P264" s="548"/>
      <c r="Q264" s="547"/>
      <c r="R264" s="552">
        <f>F265+I265</f>
        <v>7.6141199999999992E-2</v>
      </c>
      <c r="S264" s="979">
        <f>R264+R265</f>
        <v>0.1068623226336</v>
      </c>
      <c r="T264" s="979">
        <f>E264*S264</f>
        <v>84.955546493712006</v>
      </c>
      <c r="U264" s="1048">
        <f>R265*E264</f>
        <v>24.423292493712008</v>
      </c>
      <c r="V264" s="276">
        <f t="shared" si="14"/>
        <v>0.14190645097466256</v>
      </c>
      <c r="W264" s="277">
        <f t="shared" si="15"/>
        <v>112.81562852485673</v>
      </c>
      <c r="X264" s="422"/>
    </row>
    <row r="265" spans="1:39" s="156" customFormat="1" ht="14.25" customHeight="1">
      <c r="A265" s="1060"/>
      <c r="B265" s="969"/>
      <c r="C265" s="971"/>
      <c r="D265" s="973"/>
      <c r="E265" s="991"/>
      <c r="F265" s="999">
        <f>F264*J$13/1000</f>
        <v>1.1685000000000001E-2</v>
      </c>
      <c r="G265" s="1000"/>
      <c r="H265" s="1001"/>
      <c r="I265" s="999">
        <f>I264*$Q$13/1000</f>
        <v>6.4456199999999991E-2</v>
      </c>
      <c r="J265" s="1000"/>
      <c r="K265" s="1001"/>
      <c r="L265" s="340" t="s">
        <v>83</v>
      </c>
      <c r="M265" s="246" t="s">
        <v>126</v>
      </c>
      <c r="N265" s="247">
        <v>1E-3</v>
      </c>
      <c r="O265" s="250">
        <f>E264*N265</f>
        <v>0.79500000000000004</v>
      </c>
      <c r="P265" s="243">
        <v>26.655999999999999</v>
      </c>
      <c r="Q265" s="248">
        <f>N265*P265*$N$11</f>
        <v>3.0721122633600009E-2</v>
      </c>
      <c r="R265" s="549">
        <f>Q265</f>
        <v>3.0721122633600009E-2</v>
      </c>
      <c r="S265" s="980"/>
      <c r="T265" s="980"/>
      <c r="U265" s="1049"/>
      <c r="V265" s="276">
        <f t="shared" si="14"/>
        <v>0</v>
      </c>
      <c r="W265" s="277">
        <f t="shared" si="15"/>
        <v>0</v>
      </c>
      <c r="X265" s="422"/>
    </row>
    <row r="266" spans="1:39" s="431" customFormat="1" ht="15" customHeight="1">
      <c r="A266" s="507"/>
      <c r="C266" s="560" t="s">
        <v>312</v>
      </c>
      <c r="D266" s="427"/>
      <c r="E266" s="428">
        <v>1</v>
      </c>
      <c r="F266" s="1328" t="s">
        <v>277</v>
      </c>
      <c r="G266" s="1328"/>
      <c r="H266" s="1328"/>
      <c r="I266" s="1328"/>
      <c r="J266" s="1328"/>
      <c r="K266" s="1328"/>
      <c r="L266" s="1328"/>
      <c r="M266" s="429"/>
      <c r="N266" s="429"/>
      <c r="O266" s="429"/>
      <c r="P266" s="428"/>
      <c r="Q266" s="428"/>
      <c r="R266" s="428"/>
      <c r="S266" s="428"/>
      <c r="T266" s="428"/>
      <c r="U266" s="430">
        <f>+E266</f>
        <v>1</v>
      </c>
      <c r="V266" s="276">
        <f t="shared" si="14"/>
        <v>0</v>
      </c>
      <c r="W266" s="277">
        <f t="shared" si="15"/>
        <v>0</v>
      </c>
      <c r="X266" s="422"/>
    </row>
    <row r="267" spans="1:39" s="436" customFormat="1" ht="12.75">
      <c r="A267" s="1329">
        <v>1</v>
      </c>
      <c r="B267" s="1331" t="s">
        <v>211</v>
      </c>
      <c r="C267" s="1279" t="s">
        <v>200</v>
      </c>
      <c r="D267" s="1333" t="s">
        <v>201</v>
      </c>
      <c r="E267" s="1226">
        <f>2.5*E266</f>
        <v>2.5</v>
      </c>
      <c r="F267" s="1335">
        <f>0.01*194</f>
        <v>1.94</v>
      </c>
      <c r="G267" s="1335"/>
      <c r="H267" s="1335"/>
      <c r="I267" s="1336">
        <v>0</v>
      </c>
      <c r="J267" s="1336"/>
      <c r="K267" s="1336"/>
      <c r="L267" s="432"/>
      <c r="M267" s="433"/>
      <c r="N267" s="433"/>
      <c r="O267" s="433"/>
      <c r="P267" s="434"/>
      <c r="Q267" s="435"/>
      <c r="R267" s="1337">
        <f>F268+I268</f>
        <v>4.5337800000000001</v>
      </c>
      <c r="S267" s="1337">
        <f>R267+R268</f>
        <v>4.5337800000000001</v>
      </c>
      <c r="T267" s="1337">
        <f>E267*S267</f>
        <v>11.33445</v>
      </c>
      <c r="U267" s="1343"/>
      <c r="V267" s="276">
        <f t="shared" si="14"/>
        <v>6.0205750113240972</v>
      </c>
      <c r="W267" s="277">
        <f t="shared" si="15"/>
        <v>15.051437528310244</v>
      </c>
      <c r="X267" s="422"/>
    </row>
    <row r="268" spans="1:39" s="436" customFormat="1" ht="12.75">
      <c r="A268" s="1330"/>
      <c r="B268" s="1332"/>
      <c r="C268" s="1279"/>
      <c r="D268" s="1334"/>
      <c r="E268" s="1227"/>
      <c r="F268" s="1335">
        <f>F267*$J$13/1000</f>
        <v>4.5337800000000001</v>
      </c>
      <c r="G268" s="1335"/>
      <c r="H268" s="1335"/>
      <c r="I268" s="1336">
        <f>I267*$Q$13/1000</f>
        <v>0</v>
      </c>
      <c r="J268" s="1336"/>
      <c r="K268" s="1336"/>
      <c r="L268" s="437"/>
      <c r="M268" s="438"/>
      <c r="N268" s="438"/>
      <c r="O268" s="438" t="s">
        <v>20</v>
      </c>
      <c r="P268" s="439"/>
      <c r="Q268" s="440"/>
      <c r="R268" s="1338"/>
      <c r="S268" s="1338"/>
      <c r="T268" s="1338"/>
      <c r="U268" s="1344"/>
      <c r="V268" s="276">
        <f t="shared" si="14"/>
        <v>0</v>
      </c>
      <c r="W268" s="277">
        <f t="shared" si="15"/>
        <v>0</v>
      </c>
      <c r="X268" s="422"/>
    </row>
    <row r="269" spans="1:39" s="436" customFormat="1" ht="12.75">
      <c r="A269" s="1329">
        <f>+A267+1</f>
        <v>2</v>
      </c>
      <c r="B269" s="1331" t="s">
        <v>212</v>
      </c>
      <c r="C269" s="1296" t="s">
        <v>222</v>
      </c>
      <c r="D269" s="1333" t="s">
        <v>201</v>
      </c>
      <c r="E269" s="1226">
        <f>+E267</f>
        <v>2.5</v>
      </c>
      <c r="F269" s="1335">
        <f>0.01*66.4</f>
        <v>0.66400000000000003</v>
      </c>
      <c r="G269" s="1335"/>
      <c r="H269" s="1335"/>
      <c r="I269" s="1345"/>
      <c r="J269" s="1345"/>
      <c r="K269" s="1345"/>
      <c r="L269" s="441"/>
      <c r="M269" s="442"/>
      <c r="N269" s="443"/>
      <c r="O269" s="443"/>
      <c r="P269" s="444"/>
      <c r="Q269" s="445"/>
      <c r="R269" s="1337">
        <f>F270+I270</f>
        <v>1.551768</v>
      </c>
      <c r="S269" s="1337">
        <f>R269+R270</f>
        <v>1.551768</v>
      </c>
      <c r="T269" s="1337">
        <f>E269*S269</f>
        <v>3.8794200000000001</v>
      </c>
      <c r="U269" s="446"/>
      <c r="V269" s="276">
        <f t="shared" si="14"/>
        <v>2.0606504162470105</v>
      </c>
      <c r="W269" s="277">
        <f t="shared" si="15"/>
        <v>5.1516260406175265</v>
      </c>
      <c r="X269" s="422"/>
    </row>
    <row r="270" spans="1:39" s="436" customFormat="1" ht="10.5" customHeight="1">
      <c r="A270" s="1330"/>
      <c r="B270" s="1332"/>
      <c r="C270" s="1297"/>
      <c r="D270" s="1334"/>
      <c r="E270" s="1227"/>
      <c r="F270" s="1335">
        <f>F269*$J$13/1000</f>
        <v>1.551768</v>
      </c>
      <c r="G270" s="1335"/>
      <c r="H270" s="1335"/>
      <c r="I270" s="1346"/>
      <c r="J270" s="1346"/>
      <c r="K270" s="1346"/>
      <c r="L270" s="437"/>
      <c r="M270" s="447"/>
      <c r="N270" s="448"/>
      <c r="O270" s="448"/>
      <c r="P270" s="439"/>
      <c r="Q270" s="449"/>
      <c r="R270" s="1338"/>
      <c r="S270" s="1338"/>
      <c r="T270" s="1338"/>
      <c r="U270" s="450"/>
      <c r="V270" s="276">
        <f t="shared" si="14"/>
        <v>0</v>
      </c>
      <c r="W270" s="277">
        <f t="shared" si="15"/>
        <v>0</v>
      </c>
      <c r="X270" s="422"/>
    </row>
    <row r="271" spans="1:39" s="157" customFormat="1" ht="12">
      <c r="A271" s="1058">
        <f>+A269+1</f>
        <v>3</v>
      </c>
      <c r="B271" s="968" t="s">
        <v>213</v>
      </c>
      <c r="C271" s="988" t="s">
        <v>223</v>
      </c>
      <c r="D271" s="972" t="s">
        <v>199</v>
      </c>
      <c r="E271" s="990">
        <f>+((0.4*2.51)+(1.5*3.77)+(6*0.4)+(7*0.22)+(1.5*0.04))*E266</f>
        <v>10.659000000000001</v>
      </c>
      <c r="F271" s="1308">
        <f>36.1/1000</f>
        <v>3.61E-2</v>
      </c>
      <c r="G271" s="1309"/>
      <c r="H271" s="1310"/>
      <c r="I271" s="999">
        <v>5.7000000000000002E-2</v>
      </c>
      <c r="J271" s="1000"/>
      <c r="K271" s="1001"/>
      <c r="L271" s="420"/>
      <c r="M271" s="178"/>
      <c r="N271" s="548"/>
      <c r="O271" s="548"/>
      <c r="P271" s="548"/>
      <c r="Q271" s="547"/>
      <c r="R271" s="552">
        <f>F272+I272</f>
        <v>0.26806587000000004</v>
      </c>
      <c r="S271" s="979">
        <f>R271+R272+R273+R274</f>
        <v>0.91280676072246025</v>
      </c>
      <c r="T271" s="979">
        <f>E271*S271</f>
        <v>9.7296072625407053</v>
      </c>
      <c r="U271" s="1048">
        <f>E271*Q272</f>
        <v>6.756491798595003</v>
      </c>
      <c r="V271" s="276">
        <f t="shared" si="14"/>
        <v>1.2121500323732819</v>
      </c>
      <c r="W271" s="277">
        <f t="shared" si="15"/>
        <v>12.920307195066812</v>
      </c>
      <c r="X271" s="422"/>
      <c r="Y271" s="242"/>
    </row>
    <row r="272" spans="1:39" s="157" customFormat="1" ht="13.5" customHeight="1">
      <c r="A272" s="1059"/>
      <c r="B272" s="995"/>
      <c r="C272" s="1020"/>
      <c r="D272" s="997"/>
      <c r="E272" s="998"/>
      <c r="F272" s="1017">
        <f>F271*$J$13/1000</f>
        <v>8.4365700000000002E-2</v>
      </c>
      <c r="G272" s="1018"/>
      <c r="H272" s="1016"/>
      <c r="I272" s="1017">
        <f>I271*$Q$13/1000</f>
        <v>0.18370017000000002</v>
      </c>
      <c r="J272" s="1018"/>
      <c r="K272" s="1016"/>
      <c r="L272" s="252" t="s">
        <v>208</v>
      </c>
      <c r="M272" s="253" t="s">
        <v>124</v>
      </c>
      <c r="N272" s="267">
        <v>1</v>
      </c>
      <c r="O272" s="343">
        <f>E271*N272</f>
        <v>10.659000000000001</v>
      </c>
      <c r="P272" s="243">
        <v>0.55000000000000004</v>
      </c>
      <c r="Q272" s="248">
        <f>N272*P272*$N$11</f>
        <v>0.63387670500000026</v>
      </c>
      <c r="R272" s="979">
        <f>SUM(Q272:Q274)</f>
        <v>0.64474089072246021</v>
      </c>
      <c r="S272" s="1002"/>
      <c r="T272" s="1002"/>
      <c r="U272" s="1251"/>
      <c r="V272" s="276">
        <f t="shared" si="14"/>
        <v>0</v>
      </c>
      <c r="W272" s="277">
        <f t="shared" si="15"/>
        <v>0</v>
      </c>
      <c r="X272" s="422"/>
      <c r="Y272" s="242"/>
    </row>
    <row r="273" spans="1:25" s="157" customFormat="1" ht="12">
      <c r="A273" s="1059"/>
      <c r="B273" s="995"/>
      <c r="C273" s="1020"/>
      <c r="D273" s="997"/>
      <c r="E273" s="998"/>
      <c r="F273" s="1021"/>
      <c r="G273" s="1022"/>
      <c r="H273" s="1023"/>
      <c r="I273" s="1021"/>
      <c r="J273" s="1022"/>
      <c r="K273" s="1023"/>
      <c r="L273" s="340" t="s">
        <v>190</v>
      </c>
      <c r="M273" s="246" t="s">
        <v>124</v>
      </c>
      <c r="N273" s="243">
        <v>4.0000000000000001E-3</v>
      </c>
      <c r="O273" s="250">
        <f>E271*N273</f>
        <v>4.2636E-2</v>
      </c>
      <c r="P273" s="451">
        <v>0.89400000000000002</v>
      </c>
      <c r="Q273" s="452">
        <f>N273*P273*$N$11</f>
        <v>4.1213510856000016E-3</v>
      </c>
      <c r="R273" s="1002"/>
      <c r="S273" s="1002"/>
      <c r="T273" s="1002"/>
      <c r="U273" s="1251"/>
      <c r="V273" s="276">
        <f t="shared" si="14"/>
        <v>0</v>
      </c>
      <c r="W273" s="277">
        <f t="shared" si="15"/>
        <v>0</v>
      </c>
      <c r="X273" s="422"/>
      <c r="Y273" s="242"/>
    </row>
    <row r="274" spans="1:25" s="157" customFormat="1" ht="12">
      <c r="A274" s="1060"/>
      <c r="B274" s="969"/>
      <c r="C274" s="989"/>
      <c r="D274" s="973"/>
      <c r="E274" s="991"/>
      <c r="F274" s="985"/>
      <c r="G274" s="986"/>
      <c r="H274" s="987"/>
      <c r="I274" s="985"/>
      <c r="J274" s="986"/>
      <c r="K274" s="987"/>
      <c r="L274" s="453" t="s">
        <v>214</v>
      </c>
      <c r="M274" s="246" t="s">
        <v>124</v>
      </c>
      <c r="N274" s="454">
        <v>4.8999999999999998E-3</v>
      </c>
      <c r="O274" s="264">
        <f>E271*N274</f>
        <v>5.2229100000000001E-2</v>
      </c>
      <c r="P274" s="455">
        <v>1.194</v>
      </c>
      <c r="Q274" s="456">
        <f>N274*P274*$N$11</f>
        <v>6.742834636860001E-3</v>
      </c>
      <c r="R274" s="980"/>
      <c r="S274" s="980"/>
      <c r="T274" s="980"/>
      <c r="U274" s="1049"/>
      <c r="V274" s="276">
        <f t="shared" si="14"/>
        <v>0</v>
      </c>
      <c r="W274" s="277">
        <f t="shared" si="15"/>
        <v>0</v>
      </c>
      <c r="X274" s="422"/>
      <c r="Y274" s="242"/>
    </row>
    <row r="275" spans="1:25" s="401" customFormat="1" ht="12">
      <c r="A275" s="1058">
        <f>+A271+1</f>
        <v>4</v>
      </c>
      <c r="B275" s="968" t="s">
        <v>215</v>
      </c>
      <c r="C275" s="1347" t="s">
        <v>224</v>
      </c>
      <c r="D275" s="972" t="s">
        <v>197</v>
      </c>
      <c r="E275" s="974">
        <v>7</v>
      </c>
      <c r="F275" s="976">
        <v>0.23</v>
      </c>
      <c r="G275" s="977"/>
      <c r="H275" s="978"/>
      <c r="I275" s="976">
        <v>0.01</v>
      </c>
      <c r="J275" s="977"/>
      <c r="K275" s="978"/>
      <c r="L275" s="420"/>
      <c r="M275" s="178"/>
      <c r="N275" s="548"/>
      <c r="O275" s="548"/>
      <c r="P275" s="561"/>
      <c r="Q275" s="554"/>
      <c r="R275" s="552">
        <f>F276+I276</f>
        <v>0.56973810000000003</v>
      </c>
      <c r="S275" s="979">
        <f>R275+R276</f>
        <v>5.756002050000002</v>
      </c>
      <c r="T275" s="979">
        <f>E275*S275</f>
        <v>40.292014350000017</v>
      </c>
      <c r="U275" s="1048">
        <f>E275*Q276</f>
        <v>36.303847650000009</v>
      </c>
      <c r="V275" s="276">
        <f t="shared" si="14"/>
        <v>7.6436091092554745</v>
      </c>
      <c r="W275" s="277">
        <f t="shared" si="15"/>
        <v>53.505263764788324</v>
      </c>
      <c r="X275" s="422"/>
      <c r="Y275" s="457"/>
    </row>
    <row r="276" spans="1:25" s="401" customFormat="1" ht="12">
      <c r="A276" s="1060"/>
      <c r="B276" s="969"/>
      <c r="C276" s="1347"/>
      <c r="D276" s="973"/>
      <c r="E276" s="975"/>
      <c r="F276" s="985">
        <f>F275*$J$13/1000</f>
        <v>0.53751000000000004</v>
      </c>
      <c r="G276" s="986"/>
      <c r="H276" s="987"/>
      <c r="I276" s="985">
        <f>I275*$Q$13/1000</f>
        <v>3.2228099999999996E-2</v>
      </c>
      <c r="J276" s="986"/>
      <c r="K276" s="987"/>
      <c r="L276" s="340" t="s">
        <v>216</v>
      </c>
      <c r="M276" s="246" t="s">
        <v>164</v>
      </c>
      <c r="N276" s="247">
        <v>1</v>
      </c>
      <c r="O276" s="250">
        <f>E275*N276</f>
        <v>7</v>
      </c>
      <c r="P276" s="341">
        <v>4.5</v>
      </c>
      <c r="Q276" s="458">
        <f>N276*P276*$N$11</f>
        <v>5.1862639500000016</v>
      </c>
      <c r="R276" s="549">
        <f>SUM(Q276:Q276)</f>
        <v>5.1862639500000016</v>
      </c>
      <c r="S276" s="980"/>
      <c r="T276" s="980"/>
      <c r="U276" s="1049"/>
      <c r="V276" s="276">
        <f t="shared" si="14"/>
        <v>0</v>
      </c>
      <c r="W276" s="277">
        <f t="shared" si="15"/>
        <v>0</v>
      </c>
      <c r="X276" s="422"/>
      <c r="Y276" s="457"/>
    </row>
    <row r="277" spans="1:25" s="157" customFormat="1" ht="12">
      <c r="A277" s="1058">
        <f>+A275+1</f>
        <v>5</v>
      </c>
      <c r="B277" s="968" t="s">
        <v>217</v>
      </c>
      <c r="C277" s="970" t="s">
        <v>225</v>
      </c>
      <c r="D277" s="972" t="s">
        <v>197</v>
      </c>
      <c r="E277" s="974">
        <f>3*E266</f>
        <v>3</v>
      </c>
      <c r="F277" s="1351">
        <v>0.46</v>
      </c>
      <c r="G277" s="1352"/>
      <c r="H277" s="1353"/>
      <c r="I277" s="976">
        <v>0.08</v>
      </c>
      <c r="J277" s="977"/>
      <c r="K277" s="978"/>
      <c r="L277" s="420"/>
      <c r="M277" s="178"/>
      <c r="N277" s="548"/>
      <c r="O277" s="548"/>
      <c r="P277" s="548"/>
      <c r="Q277" s="554"/>
      <c r="R277" s="552">
        <f>F278+I278</f>
        <v>1.3328448000000002</v>
      </c>
      <c r="S277" s="979">
        <f>R277+R278</f>
        <v>5.8172343621000016</v>
      </c>
      <c r="T277" s="979">
        <f>E277*S277</f>
        <v>17.451703086300004</v>
      </c>
      <c r="U277" s="1048">
        <f>R278*E277</f>
        <v>13.453168686300003</v>
      </c>
      <c r="V277" s="276">
        <f t="shared" si="14"/>
        <v>7.7249217728860113</v>
      </c>
      <c r="W277" s="277">
        <f t="shared" si="15"/>
        <v>23.174765318658032</v>
      </c>
      <c r="X277" s="422"/>
    </row>
    <row r="278" spans="1:25" s="157" customFormat="1" ht="14.25" customHeight="1">
      <c r="A278" s="1060"/>
      <c r="B278" s="969"/>
      <c r="C278" s="971"/>
      <c r="D278" s="973"/>
      <c r="E278" s="975"/>
      <c r="F278" s="1348">
        <f>F277*$J$13/1000</f>
        <v>1.0750200000000001</v>
      </c>
      <c r="G278" s="1349"/>
      <c r="H278" s="1350"/>
      <c r="I278" s="976">
        <f>I277*$Q$13/1000</f>
        <v>0.25782479999999997</v>
      </c>
      <c r="J278" s="977"/>
      <c r="K278" s="978"/>
      <c r="L278" s="340" t="s">
        <v>218</v>
      </c>
      <c r="M278" s="246" t="s">
        <v>116</v>
      </c>
      <c r="N278" s="247">
        <v>1.5</v>
      </c>
      <c r="O278" s="250">
        <f>E277*N278</f>
        <v>4.5</v>
      </c>
      <c r="P278" s="243">
        <v>2.5939999999999999</v>
      </c>
      <c r="Q278" s="248">
        <f>N278*P278*$N$11</f>
        <v>4.4843895621000014</v>
      </c>
      <c r="R278" s="552">
        <f>SUM(Q278:Q278)</f>
        <v>4.4843895621000014</v>
      </c>
      <c r="S278" s="980"/>
      <c r="T278" s="980"/>
      <c r="U278" s="1049"/>
      <c r="V278" s="276">
        <f t="shared" si="14"/>
        <v>0</v>
      </c>
      <c r="W278" s="277">
        <f t="shared" si="15"/>
        <v>0</v>
      </c>
      <c r="X278" s="422"/>
    </row>
    <row r="279" spans="1:25" s="157" customFormat="1" ht="14.25" customHeight="1">
      <c r="A279" s="1058">
        <f>+A277+1</f>
        <v>6</v>
      </c>
      <c r="B279" s="968" t="s">
        <v>193</v>
      </c>
      <c r="C279" s="970" t="s">
        <v>226</v>
      </c>
      <c r="D279" s="972" t="s">
        <v>194</v>
      </c>
      <c r="E279" s="990">
        <f>7.5*E266</f>
        <v>7.5</v>
      </c>
      <c r="F279" s="1351">
        <v>0.13</v>
      </c>
      <c r="G279" s="1352"/>
      <c r="H279" s="1353"/>
      <c r="I279" s="999">
        <v>1.7000000000000001E-2</v>
      </c>
      <c r="J279" s="1000"/>
      <c r="K279" s="1001"/>
      <c r="L279" s="420"/>
      <c r="M279" s="178"/>
      <c r="N279" s="548"/>
      <c r="O279" s="548"/>
      <c r="P279" s="421"/>
      <c r="Q279" s="554"/>
      <c r="R279" s="552">
        <f>F280+I280</f>
        <v>0.35859777000000004</v>
      </c>
      <c r="S279" s="979">
        <f>R279+R280</f>
        <v>1.1930100144000004</v>
      </c>
      <c r="T279" s="979">
        <f>E279*S279</f>
        <v>8.9475751080000023</v>
      </c>
      <c r="U279" s="1048">
        <f>R280*E279</f>
        <v>6.2580918330000026</v>
      </c>
      <c r="V279" s="276">
        <f t="shared" si="14"/>
        <v>1.5842423498617144</v>
      </c>
      <c r="W279" s="277">
        <f t="shared" si="15"/>
        <v>11.881817623962858</v>
      </c>
      <c r="X279" s="422"/>
    </row>
    <row r="280" spans="1:25" s="157" customFormat="1" ht="14.25" customHeight="1">
      <c r="A280" s="1060"/>
      <c r="B280" s="969"/>
      <c r="C280" s="996"/>
      <c r="D280" s="973"/>
      <c r="E280" s="991"/>
      <c r="F280" s="1348">
        <f>F279*$J$13/1000</f>
        <v>0.30381000000000002</v>
      </c>
      <c r="G280" s="1349"/>
      <c r="H280" s="1350"/>
      <c r="I280" s="976">
        <f>I279*$Q$13/1000</f>
        <v>5.478777E-2</v>
      </c>
      <c r="J280" s="977"/>
      <c r="K280" s="978"/>
      <c r="L280" s="249" t="s">
        <v>219</v>
      </c>
      <c r="M280" s="246" t="s">
        <v>116</v>
      </c>
      <c r="N280" s="247">
        <v>1</v>
      </c>
      <c r="O280" s="250">
        <f>E279*N280</f>
        <v>7.5</v>
      </c>
      <c r="P280" s="243">
        <f>0.543/3*4</f>
        <v>0.72400000000000009</v>
      </c>
      <c r="Q280" s="248">
        <f>N280*P280*$N$11</f>
        <v>0.83441224440000039</v>
      </c>
      <c r="R280" s="552">
        <f>SUM(Q280:Q280)</f>
        <v>0.83441224440000039</v>
      </c>
      <c r="S280" s="980"/>
      <c r="T280" s="980"/>
      <c r="U280" s="1049"/>
      <c r="V280" s="276">
        <f t="shared" si="14"/>
        <v>0</v>
      </c>
      <c r="W280" s="277">
        <f t="shared" si="15"/>
        <v>0</v>
      </c>
      <c r="X280" s="422"/>
    </row>
    <row r="281" spans="1:25" s="431" customFormat="1" ht="14.25" customHeight="1">
      <c r="A281" s="507"/>
      <c r="C281" s="560" t="s">
        <v>313</v>
      </c>
      <c r="D281" s="427"/>
      <c r="E281" s="428">
        <v>1</v>
      </c>
      <c r="F281" s="1328" t="s">
        <v>278</v>
      </c>
      <c r="G281" s="1328"/>
      <c r="H281" s="1328"/>
      <c r="I281" s="1328"/>
      <c r="J281" s="1328"/>
      <c r="K281" s="1328"/>
      <c r="L281" s="1328"/>
      <c r="M281" s="429"/>
      <c r="N281" s="429"/>
      <c r="O281" s="429"/>
      <c r="P281" s="428"/>
      <c r="Q281" s="428"/>
      <c r="R281" s="428"/>
      <c r="S281" s="428"/>
      <c r="T281" s="428"/>
      <c r="U281" s="430">
        <f>+E281</f>
        <v>1</v>
      </c>
      <c r="V281" s="276">
        <f t="shared" si="14"/>
        <v>0</v>
      </c>
      <c r="W281" s="277">
        <f t="shared" si="15"/>
        <v>0</v>
      </c>
      <c r="X281" s="422"/>
    </row>
    <row r="282" spans="1:25" s="436" customFormat="1" ht="14.25" customHeight="1">
      <c r="A282" s="1329">
        <v>1</v>
      </c>
      <c r="B282" s="1331" t="s">
        <v>211</v>
      </c>
      <c r="C282" s="1279" t="s">
        <v>200</v>
      </c>
      <c r="D282" s="1333" t="s">
        <v>201</v>
      </c>
      <c r="E282" s="1226">
        <f>2.5*E281</f>
        <v>2.5</v>
      </c>
      <c r="F282" s="1335">
        <f>0.01*194</f>
        <v>1.94</v>
      </c>
      <c r="G282" s="1335"/>
      <c r="H282" s="1335"/>
      <c r="I282" s="1336">
        <v>0</v>
      </c>
      <c r="J282" s="1336"/>
      <c r="K282" s="1336"/>
      <c r="L282" s="432"/>
      <c r="M282" s="433"/>
      <c r="N282" s="433"/>
      <c r="O282" s="433"/>
      <c r="P282" s="434"/>
      <c r="Q282" s="435"/>
      <c r="R282" s="1337">
        <f>F283+I283</f>
        <v>4.5337800000000001</v>
      </c>
      <c r="S282" s="1337">
        <f>R282+R283</f>
        <v>4.5337800000000001</v>
      </c>
      <c r="T282" s="1337">
        <f>E282*S282</f>
        <v>11.33445</v>
      </c>
      <c r="U282" s="1343"/>
      <c r="V282" s="276">
        <f t="shared" si="14"/>
        <v>6.0205750113240972</v>
      </c>
      <c r="W282" s="277">
        <f t="shared" si="15"/>
        <v>15.051437528310244</v>
      </c>
      <c r="X282" s="422"/>
    </row>
    <row r="283" spans="1:25" s="436" customFormat="1" ht="14.25" customHeight="1">
      <c r="A283" s="1330"/>
      <c r="B283" s="1332"/>
      <c r="C283" s="1279"/>
      <c r="D283" s="1334"/>
      <c r="E283" s="1227"/>
      <c r="F283" s="1335">
        <f>F282*$J$13/1000</f>
        <v>4.5337800000000001</v>
      </c>
      <c r="G283" s="1335"/>
      <c r="H283" s="1335"/>
      <c r="I283" s="1336">
        <f>I282*$Q$13/1000</f>
        <v>0</v>
      </c>
      <c r="J283" s="1336"/>
      <c r="K283" s="1336"/>
      <c r="L283" s="437"/>
      <c r="M283" s="438"/>
      <c r="N283" s="438"/>
      <c r="O283" s="438" t="s">
        <v>20</v>
      </c>
      <c r="P283" s="439"/>
      <c r="Q283" s="440"/>
      <c r="R283" s="1338"/>
      <c r="S283" s="1338"/>
      <c r="T283" s="1338"/>
      <c r="U283" s="1344"/>
      <c r="V283" s="276">
        <f t="shared" si="14"/>
        <v>0</v>
      </c>
      <c r="W283" s="277">
        <f t="shared" si="15"/>
        <v>0</v>
      </c>
      <c r="X283" s="422"/>
    </row>
    <row r="284" spans="1:25" s="436" customFormat="1" ht="14.25" customHeight="1">
      <c r="A284" s="1329">
        <f>+A282+1</f>
        <v>2</v>
      </c>
      <c r="B284" s="1331" t="s">
        <v>212</v>
      </c>
      <c r="C284" s="1296" t="s">
        <v>222</v>
      </c>
      <c r="D284" s="1333" t="s">
        <v>201</v>
      </c>
      <c r="E284" s="1226">
        <f>+E282</f>
        <v>2.5</v>
      </c>
      <c r="F284" s="1335">
        <f>0.01*66.4</f>
        <v>0.66400000000000003</v>
      </c>
      <c r="G284" s="1335"/>
      <c r="H284" s="1335"/>
      <c r="I284" s="1345"/>
      <c r="J284" s="1345"/>
      <c r="K284" s="1345"/>
      <c r="L284" s="441"/>
      <c r="M284" s="442"/>
      <c r="N284" s="443"/>
      <c r="O284" s="443"/>
      <c r="P284" s="444"/>
      <c r="Q284" s="445"/>
      <c r="R284" s="1337">
        <f>F285+I285</f>
        <v>1.551768</v>
      </c>
      <c r="S284" s="1337">
        <f>R284+R285</f>
        <v>1.551768</v>
      </c>
      <c r="T284" s="1337">
        <f>E284*S284</f>
        <v>3.8794200000000001</v>
      </c>
      <c r="U284" s="446"/>
      <c r="V284" s="276">
        <f t="shared" ref="V284:V296" si="21">+$V$14*S284</f>
        <v>2.0606504162470105</v>
      </c>
      <c r="W284" s="277">
        <f t="shared" si="15"/>
        <v>5.1516260406175265</v>
      </c>
      <c r="X284" s="422"/>
    </row>
    <row r="285" spans="1:25" s="436" customFormat="1" ht="14.25" customHeight="1">
      <c r="A285" s="1330"/>
      <c r="B285" s="1332"/>
      <c r="C285" s="1297"/>
      <c r="D285" s="1334"/>
      <c r="E285" s="1227"/>
      <c r="F285" s="1335">
        <f>F284*$J$13/1000</f>
        <v>1.551768</v>
      </c>
      <c r="G285" s="1335"/>
      <c r="H285" s="1335"/>
      <c r="I285" s="1346"/>
      <c r="J285" s="1346"/>
      <c r="K285" s="1346"/>
      <c r="L285" s="437"/>
      <c r="M285" s="447"/>
      <c r="N285" s="448"/>
      <c r="O285" s="448"/>
      <c r="P285" s="439"/>
      <c r="Q285" s="449"/>
      <c r="R285" s="1338"/>
      <c r="S285" s="1338"/>
      <c r="T285" s="1338"/>
      <c r="U285" s="450"/>
      <c r="V285" s="276">
        <f t="shared" si="21"/>
        <v>0</v>
      </c>
      <c r="W285" s="277">
        <f t="shared" ref="W285:W295" si="22">+V285*E285</f>
        <v>0</v>
      </c>
      <c r="X285" s="422"/>
    </row>
    <row r="286" spans="1:25" s="157" customFormat="1" ht="14.25" customHeight="1">
      <c r="A286" s="1058">
        <f>+A284+1</f>
        <v>3</v>
      </c>
      <c r="B286" s="968" t="s">
        <v>213</v>
      </c>
      <c r="C286" s="988" t="s">
        <v>223</v>
      </c>
      <c r="D286" s="972" t="s">
        <v>199</v>
      </c>
      <c r="E286" s="990">
        <f>+((0.4*2.51)+(1.5*3.77)+(4*0.4)+(7*0.22)+(1.5*0.04))*E281</f>
        <v>9.859</v>
      </c>
      <c r="F286" s="1308">
        <f>36.1/1000</f>
        <v>3.61E-2</v>
      </c>
      <c r="G286" s="1309"/>
      <c r="H286" s="1310"/>
      <c r="I286" s="999">
        <v>5.7000000000000002E-2</v>
      </c>
      <c r="J286" s="1000"/>
      <c r="K286" s="1001"/>
      <c r="L286" s="420"/>
      <c r="M286" s="178"/>
      <c r="N286" s="548"/>
      <c r="O286" s="548"/>
      <c r="P286" s="548"/>
      <c r="Q286" s="547"/>
      <c r="R286" s="552">
        <f>F287+I287</f>
        <v>0.26806587000000004</v>
      </c>
      <c r="S286" s="979">
        <f>R286+R287+R288+R289</f>
        <v>0.91280676072246025</v>
      </c>
      <c r="T286" s="979">
        <f>E286*S286</f>
        <v>8.9993618539627356</v>
      </c>
      <c r="U286" s="1048">
        <f>E286*Q287</f>
        <v>6.2493904345950027</v>
      </c>
      <c r="V286" s="276">
        <f t="shared" si="21"/>
        <v>1.2121500323732819</v>
      </c>
      <c r="W286" s="277">
        <f t="shared" si="22"/>
        <v>11.950587169168186</v>
      </c>
      <c r="X286" s="422"/>
      <c r="Y286" s="242"/>
    </row>
    <row r="287" spans="1:25" s="157" customFormat="1" ht="14.25" customHeight="1">
      <c r="A287" s="1059"/>
      <c r="B287" s="995"/>
      <c r="C287" s="1020"/>
      <c r="D287" s="997"/>
      <c r="E287" s="998"/>
      <c r="F287" s="1017">
        <f>F286*$J$13/1000</f>
        <v>8.4365700000000002E-2</v>
      </c>
      <c r="G287" s="1018"/>
      <c r="H287" s="1016"/>
      <c r="I287" s="1017">
        <f>I286*$Q$13/1000</f>
        <v>0.18370017000000002</v>
      </c>
      <c r="J287" s="1018"/>
      <c r="K287" s="1016"/>
      <c r="L287" s="252" t="s">
        <v>208</v>
      </c>
      <c r="M287" s="253" t="s">
        <v>124</v>
      </c>
      <c r="N287" s="267">
        <v>1</v>
      </c>
      <c r="O287" s="343">
        <f>E286*N287</f>
        <v>9.859</v>
      </c>
      <c r="P287" s="243">
        <v>0.55000000000000004</v>
      </c>
      <c r="Q287" s="248">
        <f>N287*P287*$N$11</f>
        <v>0.63387670500000026</v>
      </c>
      <c r="R287" s="979">
        <f>SUM(Q287:Q289)</f>
        <v>0.64474089072246021</v>
      </c>
      <c r="S287" s="1002"/>
      <c r="T287" s="1002"/>
      <c r="U287" s="1251"/>
      <c r="V287" s="276">
        <f t="shared" si="21"/>
        <v>0</v>
      </c>
      <c r="W287" s="277">
        <f t="shared" si="22"/>
        <v>0</v>
      </c>
      <c r="X287" s="422"/>
      <c r="Y287" s="242"/>
    </row>
    <row r="288" spans="1:25" s="157" customFormat="1" ht="14.25" customHeight="1">
      <c r="A288" s="1059"/>
      <c r="B288" s="995"/>
      <c r="C288" s="1020"/>
      <c r="D288" s="997"/>
      <c r="E288" s="998"/>
      <c r="F288" s="1021"/>
      <c r="G288" s="1022"/>
      <c r="H288" s="1023"/>
      <c r="I288" s="1021"/>
      <c r="J288" s="1022"/>
      <c r="K288" s="1023"/>
      <c r="L288" s="340" t="s">
        <v>190</v>
      </c>
      <c r="M288" s="246" t="s">
        <v>124</v>
      </c>
      <c r="N288" s="243">
        <v>4.0000000000000001E-3</v>
      </c>
      <c r="O288" s="250">
        <f>E286*N288</f>
        <v>3.9435999999999999E-2</v>
      </c>
      <c r="P288" s="451">
        <v>0.89400000000000002</v>
      </c>
      <c r="Q288" s="452">
        <f>N288*P288*$N$11</f>
        <v>4.1213510856000016E-3</v>
      </c>
      <c r="R288" s="1002"/>
      <c r="S288" s="1002"/>
      <c r="T288" s="1002"/>
      <c r="U288" s="1251"/>
      <c r="V288" s="276">
        <f t="shared" si="21"/>
        <v>0</v>
      </c>
      <c r="W288" s="277">
        <f t="shared" si="22"/>
        <v>0</v>
      </c>
      <c r="X288" s="422"/>
      <c r="Y288" s="242"/>
    </row>
    <row r="289" spans="1:50" s="157" customFormat="1" ht="14.25" customHeight="1">
      <c r="A289" s="1060"/>
      <c r="B289" s="969"/>
      <c r="C289" s="989"/>
      <c r="D289" s="973"/>
      <c r="E289" s="991"/>
      <c r="F289" s="985"/>
      <c r="G289" s="986"/>
      <c r="H289" s="987"/>
      <c r="I289" s="985"/>
      <c r="J289" s="986"/>
      <c r="K289" s="987"/>
      <c r="L289" s="453" t="s">
        <v>214</v>
      </c>
      <c r="M289" s="246" t="s">
        <v>124</v>
      </c>
      <c r="N289" s="454">
        <v>4.8999999999999998E-3</v>
      </c>
      <c r="O289" s="264">
        <f>E286*N289</f>
        <v>4.8309100000000001E-2</v>
      </c>
      <c r="P289" s="455">
        <v>1.194</v>
      </c>
      <c r="Q289" s="456">
        <f>N289*P289*$N$11</f>
        <v>6.742834636860001E-3</v>
      </c>
      <c r="R289" s="980"/>
      <c r="S289" s="980"/>
      <c r="T289" s="980"/>
      <c r="U289" s="1049"/>
      <c r="V289" s="276">
        <f t="shared" si="21"/>
        <v>0</v>
      </c>
      <c r="W289" s="277">
        <f t="shared" si="22"/>
        <v>0</v>
      </c>
      <c r="X289" s="422"/>
      <c r="Y289" s="242"/>
    </row>
    <row r="290" spans="1:50" s="401" customFormat="1" ht="14.25" customHeight="1">
      <c r="A290" s="1058">
        <f>+A286+1</f>
        <v>4</v>
      </c>
      <c r="B290" s="968" t="s">
        <v>215</v>
      </c>
      <c r="C290" s="1347" t="s">
        <v>224</v>
      </c>
      <c r="D290" s="972" t="s">
        <v>197</v>
      </c>
      <c r="E290" s="974">
        <v>7</v>
      </c>
      <c r="F290" s="976">
        <v>0.23</v>
      </c>
      <c r="G290" s="977"/>
      <c r="H290" s="978"/>
      <c r="I290" s="976">
        <v>0.01</v>
      </c>
      <c r="J290" s="977"/>
      <c r="K290" s="978"/>
      <c r="L290" s="420"/>
      <c r="M290" s="178"/>
      <c r="N290" s="548"/>
      <c r="O290" s="548"/>
      <c r="P290" s="561"/>
      <c r="Q290" s="554"/>
      <c r="R290" s="552">
        <f>F291+I291</f>
        <v>0.56973810000000003</v>
      </c>
      <c r="S290" s="979">
        <f>R290+R291</f>
        <v>5.756002050000002</v>
      </c>
      <c r="T290" s="979">
        <f>E290*S290</f>
        <v>40.292014350000017</v>
      </c>
      <c r="U290" s="1048">
        <f>E290*Q291</f>
        <v>36.303847650000009</v>
      </c>
      <c r="V290" s="276">
        <f t="shared" si="21"/>
        <v>7.6436091092554745</v>
      </c>
      <c r="W290" s="277">
        <f t="shared" si="22"/>
        <v>53.505263764788324</v>
      </c>
      <c r="X290" s="422"/>
      <c r="Y290" s="457"/>
    </row>
    <row r="291" spans="1:50" s="401" customFormat="1" ht="14.25" customHeight="1">
      <c r="A291" s="1060"/>
      <c r="B291" s="969"/>
      <c r="C291" s="1347"/>
      <c r="D291" s="973"/>
      <c r="E291" s="975"/>
      <c r="F291" s="985">
        <f>F290*$J$13/1000</f>
        <v>0.53751000000000004</v>
      </c>
      <c r="G291" s="986"/>
      <c r="H291" s="987"/>
      <c r="I291" s="985">
        <f>I290*$Q$13/1000</f>
        <v>3.2228099999999996E-2</v>
      </c>
      <c r="J291" s="986"/>
      <c r="K291" s="987"/>
      <c r="L291" s="340" t="s">
        <v>216</v>
      </c>
      <c r="M291" s="246" t="s">
        <v>164</v>
      </c>
      <c r="N291" s="247">
        <v>1</v>
      </c>
      <c r="O291" s="250">
        <f>E290*N291</f>
        <v>7</v>
      </c>
      <c r="P291" s="341">
        <v>4.5</v>
      </c>
      <c r="Q291" s="458">
        <f>N291*P291*$N$11</f>
        <v>5.1862639500000016</v>
      </c>
      <c r="R291" s="549">
        <f>SUM(Q291:Q291)</f>
        <v>5.1862639500000016</v>
      </c>
      <c r="S291" s="980"/>
      <c r="T291" s="980"/>
      <c r="U291" s="1049"/>
      <c r="V291" s="276">
        <f t="shared" si="21"/>
        <v>0</v>
      </c>
      <c r="W291" s="277">
        <f t="shared" si="22"/>
        <v>0</v>
      </c>
      <c r="X291" s="422"/>
      <c r="Y291" s="457"/>
    </row>
    <row r="292" spans="1:50" s="157" customFormat="1" ht="14.25" customHeight="1">
      <c r="A292" s="1058">
        <f>+A290+1</f>
        <v>5</v>
      </c>
      <c r="B292" s="968" t="s">
        <v>217</v>
      </c>
      <c r="C292" s="970" t="s">
        <v>225</v>
      </c>
      <c r="D292" s="972" t="s">
        <v>197</v>
      </c>
      <c r="E292" s="974">
        <f>3*E281</f>
        <v>3</v>
      </c>
      <c r="F292" s="1351">
        <v>0.46</v>
      </c>
      <c r="G292" s="1352"/>
      <c r="H292" s="1353"/>
      <c r="I292" s="976">
        <v>0.08</v>
      </c>
      <c r="J292" s="977"/>
      <c r="K292" s="978"/>
      <c r="L292" s="420"/>
      <c r="M292" s="178"/>
      <c r="N292" s="548"/>
      <c r="O292" s="548"/>
      <c r="P292" s="548"/>
      <c r="Q292" s="554"/>
      <c r="R292" s="552">
        <f>F293+I293</f>
        <v>1.3328448000000002</v>
      </c>
      <c r="S292" s="979">
        <f>R292+R293</f>
        <v>5.8172343621000016</v>
      </c>
      <c r="T292" s="979">
        <f>E292*S292</f>
        <v>17.451703086300004</v>
      </c>
      <c r="U292" s="1048">
        <f>R293*E292</f>
        <v>13.453168686300003</v>
      </c>
      <c r="V292" s="276">
        <f t="shared" si="21"/>
        <v>7.7249217728860113</v>
      </c>
      <c r="W292" s="277">
        <f t="shared" si="22"/>
        <v>23.174765318658032</v>
      </c>
      <c r="X292" s="422"/>
    </row>
    <row r="293" spans="1:50" s="157" customFormat="1" ht="14.25" customHeight="1">
      <c r="A293" s="1060"/>
      <c r="B293" s="969"/>
      <c r="C293" s="971"/>
      <c r="D293" s="973"/>
      <c r="E293" s="975"/>
      <c r="F293" s="1348">
        <f>F292*$J$13/1000</f>
        <v>1.0750200000000001</v>
      </c>
      <c r="G293" s="1349"/>
      <c r="H293" s="1350"/>
      <c r="I293" s="976">
        <f>I292*$Q$13/1000</f>
        <v>0.25782479999999997</v>
      </c>
      <c r="J293" s="977"/>
      <c r="K293" s="978"/>
      <c r="L293" s="340" t="s">
        <v>218</v>
      </c>
      <c r="M293" s="246" t="s">
        <v>116</v>
      </c>
      <c r="N293" s="247">
        <v>1.5</v>
      </c>
      <c r="O293" s="250">
        <f>E292*N293</f>
        <v>4.5</v>
      </c>
      <c r="P293" s="243">
        <v>2.5939999999999999</v>
      </c>
      <c r="Q293" s="248">
        <f>N293*P293*$N$11</f>
        <v>4.4843895621000014</v>
      </c>
      <c r="R293" s="552">
        <f>SUM(Q293:Q293)</f>
        <v>4.4843895621000014</v>
      </c>
      <c r="S293" s="980"/>
      <c r="T293" s="980"/>
      <c r="U293" s="1049"/>
      <c r="V293" s="276">
        <f t="shared" si="21"/>
        <v>0</v>
      </c>
      <c r="W293" s="277">
        <f t="shared" si="22"/>
        <v>0</v>
      </c>
      <c r="X293" s="422"/>
    </row>
    <row r="294" spans="1:50" s="157" customFormat="1" ht="14.25" customHeight="1">
      <c r="A294" s="1058">
        <f>+A292+1</f>
        <v>6</v>
      </c>
      <c r="B294" s="968" t="s">
        <v>193</v>
      </c>
      <c r="C294" s="970" t="s">
        <v>226</v>
      </c>
      <c r="D294" s="972" t="s">
        <v>194</v>
      </c>
      <c r="E294" s="990">
        <f>7.5*E281</f>
        <v>7.5</v>
      </c>
      <c r="F294" s="1351">
        <v>0.13</v>
      </c>
      <c r="G294" s="1352"/>
      <c r="H294" s="1353"/>
      <c r="I294" s="999">
        <v>1.7000000000000001E-2</v>
      </c>
      <c r="J294" s="1000"/>
      <c r="K294" s="1001"/>
      <c r="L294" s="420"/>
      <c r="M294" s="178"/>
      <c r="N294" s="548"/>
      <c r="O294" s="548"/>
      <c r="P294" s="421"/>
      <c r="Q294" s="554"/>
      <c r="R294" s="552">
        <f>F295+I295</f>
        <v>0.35859777000000004</v>
      </c>
      <c r="S294" s="979">
        <f>R294+R295</f>
        <v>1.1930100144000004</v>
      </c>
      <c r="T294" s="979">
        <f>E294*S294</f>
        <v>8.9475751080000023</v>
      </c>
      <c r="U294" s="1048">
        <f>R295*E294</f>
        <v>6.2580918330000026</v>
      </c>
      <c r="V294" s="276">
        <f t="shared" si="21"/>
        <v>1.5842423498617144</v>
      </c>
      <c r="W294" s="277">
        <f t="shared" si="22"/>
        <v>11.881817623962858</v>
      </c>
      <c r="X294" s="422"/>
    </row>
    <row r="295" spans="1:50" s="157" customFormat="1" ht="14.25" customHeight="1">
      <c r="A295" s="1060"/>
      <c r="B295" s="969"/>
      <c r="C295" s="996"/>
      <c r="D295" s="973"/>
      <c r="E295" s="991"/>
      <c r="F295" s="1348">
        <f>F294*$J$13/1000</f>
        <v>0.30381000000000002</v>
      </c>
      <c r="G295" s="1349"/>
      <c r="H295" s="1350"/>
      <c r="I295" s="976">
        <f>I294*$Q$13/1000</f>
        <v>5.478777E-2</v>
      </c>
      <c r="J295" s="977"/>
      <c r="K295" s="978"/>
      <c r="L295" s="249" t="s">
        <v>219</v>
      </c>
      <c r="M295" s="246" t="s">
        <v>116</v>
      </c>
      <c r="N295" s="247">
        <v>1</v>
      </c>
      <c r="O295" s="250">
        <f>E294*N295</f>
        <v>7.5</v>
      </c>
      <c r="P295" s="243">
        <f>0.543/3*4</f>
        <v>0.72400000000000009</v>
      </c>
      <c r="Q295" s="248">
        <f>N295*P295*$N$11</f>
        <v>0.83441224440000039</v>
      </c>
      <c r="R295" s="552">
        <f>SUM(Q295:Q295)</f>
        <v>0.83441224440000039</v>
      </c>
      <c r="S295" s="980"/>
      <c r="T295" s="980"/>
      <c r="U295" s="1049"/>
      <c r="V295" s="276">
        <f t="shared" si="21"/>
        <v>0</v>
      </c>
      <c r="W295" s="277">
        <f t="shared" si="22"/>
        <v>0</v>
      </c>
      <c r="X295" s="422"/>
    </row>
    <row r="296" spans="1:50" s="156" customFormat="1" ht="12.75" customHeight="1">
      <c r="A296" s="374"/>
      <c r="B296" s="375"/>
      <c r="C296" s="376" t="s">
        <v>153</v>
      </c>
      <c r="D296" s="377"/>
      <c r="E296" s="378"/>
      <c r="F296" s="379"/>
      <c r="G296" s="380"/>
      <c r="H296" s="379"/>
      <c r="I296" s="379"/>
      <c r="J296" s="380"/>
      <c r="K296" s="379"/>
      <c r="L296" s="381"/>
      <c r="M296" s="382"/>
      <c r="N296" s="383"/>
      <c r="O296" s="384"/>
      <c r="P296" s="379"/>
      <c r="Q296" s="385"/>
      <c r="R296" s="384"/>
      <c r="S296" s="384"/>
      <c r="T296" s="386">
        <f>SUM(T222:T295)-$T$98</f>
        <v>9439.0502096620912</v>
      </c>
      <c r="U296" s="386">
        <f>SUM(U222:U295)-$T$98</f>
        <v>7467.3746344935435</v>
      </c>
      <c r="V296" s="276">
        <f t="shared" si="21"/>
        <v>0</v>
      </c>
      <c r="W296" s="562">
        <f>SUM(W221:W295)</f>
        <v>12958.941027329523</v>
      </c>
      <c r="X296" s="422">
        <v>0.2854238039473514</v>
      </c>
      <c r="Y296" s="159"/>
      <c r="Z296" s="159"/>
      <c r="AA296" s="159"/>
      <c r="AB296" s="159"/>
      <c r="AC296" s="159"/>
      <c r="AD296" s="159"/>
      <c r="AE296" s="159"/>
      <c r="AF296" s="159"/>
      <c r="AG296" s="159"/>
      <c r="AH296" s="159"/>
      <c r="AI296" s="159"/>
      <c r="AJ296" s="159"/>
      <c r="AK296" s="159"/>
      <c r="AL296" s="159"/>
      <c r="AM296" s="159"/>
      <c r="AN296" s="159"/>
      <c r="AO296" s="159"/>
      <c r="AP296" s="159"/>
      <c r="AQ296" s="159"/>
      <c r="AR296" s="159"/>
      <c r="AS296" s="159"/>
      <c r="AT296" s="159"/>
      <c r="AU296" s="159"/>
      <c r="AV296" s="159"/>
      <c r="AW296" s="159"/>
      <c r="AX296" s="159"/>
    </row>
    <row r="297" spans="1:50" s="280" customFormat="1" ht="13.5" customHeight="1">
      <c r="A297" s="278"/>
      <c r="B297" s="279"/>
      <c r="C297" s="1179" t="s">
        <v>153</v>
      </c>
      <c r="D297" s="1180"/>
      <c r="E297" s="1180"/>
      <c r="F297" s="1180"/>
      <c r="G297" s="1180"/>
      <c r="H297" s="1180"/>
      <c r="I297" s="1180"/>
      <c r="J297" s="1180"/>
      <c r="K297" s="1180"/>
      <c r="L297" s="1180"/>
      <c r="M297" s="1180"/>
      <c r="N297" s="1180"/>
      <c r="O297" s="1180"/>
      <c r="P297" s="1180"/>
      <c r="Q297" s="1180"/>
      <c r="R297" s="1180"/>
      <c r="S297" s="1180"/>
      <c r="T297" s="1180"/>
      <c r="U297" s="1180"/>
      <c r="V297" s="1181"/>
      <c r="W297" s="462">
        <f>+W296+W220+W126</f>
        <v>45322.429114773782</v>
      </c>
      <c r="X297" s="365">
        <v>1</v>
      </c>
      <c r="Y297" s="354"/>
      <c r="Z297" s="159"/>
      <c r="AA297" s="159"/>
      <c r="AB297" s="159"/>
      <c r="AC297" s="159"/>
      <c r="AD297" s="159"/>
      <c r="AE297" s="159"/>
      <c r="AF297" s="159"/>
      <c r="AG297" s="159"/>
      <c r="AH297" s="159"/>
      <c r="AI297" s="159"/>
      <c r="AJ297" s="159"/>
      <c r="AK297" s="159"/>
      <c r="AL297" s="159"/>
      <c r="AM297" s="159"/>
      <c r="AN297" s="159"/>
      <c r="AO297" s="159"/>
      <c r="AP297" s="159"/>
      <c r="AQ297" s="159"/>
      <c r="AR297" s="159"/>
    </row>
    <row r="298" spans="1:50" s="280" customFormat="1" ht="13.5" hidden="1" customHeight="1">
      <c r="A298" s="281"/>
      <c r="B298" s="282"/>
      <c r="C298" s="348" t="s">
        <v>150</v>
      </c>
      <c r="D298" s="283"/>
      <c r="E298" s="284"/>
      <c r="F298" s="285"/>
      <c r="G298" s="286"/>
      <c r="H298" s="285"/>
      <c r="I298" s="285"/>
      <c r="J298" s="286"/>
      <c r="K298" s="285"/>
      <c r="L298" s="287"/>
      <c r="M298" s="288"/>
      <c r="N298" s="289"/>
      <c r="O298" s="290"/>
      <c r="P298" s="285"/>
      <c r="Q298" s="286"/>
      <c r="R298" s="290"/>
      <c r="S298" s="290"/>
      <c r="T298" s="291"/>
      <c r="U298" s="292"/>
      <c r="V298" s="293"/>
      <c r="W298" s="294">
        <f>W297*D298</f>
        <v>0</v>
      </c>
      <c r="X298" s="362"/>
      <c r="Y298" s="158"/>
      <c r="Z298" s="159"/>
      <c r="AA298" s="159"/>
      <c r="AB298" s="159"/>
      <c r="AC298" s="159"/>
      <c r="AD298" s="159"/>
      <c r="AE298" s="159"/>
      <c r="AF298" s="159"/>
      <c r="AG298" s="159"/>
      <c r="AH298" s="159"/>
      <c r="AI298" s="159"/>
      <c r="AJ298" s="159"/>
      <c r="AK298" s="159"/>
      <c r="AL298" s="159"/>
      <c r="AM298" s="159"/>
      <c r="AN298" s="159"/>
      <c r="AO298" s="159"/>
      <c r="AP298" s="159"/>
      <c r="AQ298" s="159"/>
      <c r="AR298" s="159"/>
    </row>
    <row r="299" spans="1:50" s="280" customFormat="1" ht="12.75" hidden="1" customHeight="1">
      <c r="A299" s="281"/>
      <c r="B299" s="282"/>
      <c r="C299" s="349" t="s">
        <v>151</v>
      </c>
      <c r="D299" s="283"/>
      <c r="E299" s="290"/>
      <c r="F299" s="285"/>
      <c r="G299" s="286"/>
      <c r="H299" s="285"/>
      <c r="I299" s="285"/>
      <c r="J299" s="286"/>
      <c r="K299" s="285"/>
      <c r="L299" s="287"/>
      <c r="M299" s="288"/>
      <c r="N299" s="289"/>
      <c r="O299" s="290"/>
      <c r="P299" s="285"/>
      <c r="Q299" s="286"/>
      <c r="R299" s="290"/>
      <c r="S299" s="290"/>
      <c r="T299" s="291"/>
      <c r="U299" s="292"/>
      <c r="V299" s="295"/>
      <c r="W299" s="294">
        <f>SUM(W297:W298)</f>
        <v>45322.429114773782</v>
      </c>
      <c r="X299" s="362"/>
      <c r="Y299" s="159"/>
      <c r="Z299" s="159"/>
      <c r="AA299" s="159"/>
      <c r="AB299" s="159"/>
      <c r="AC299" s="159"/>
      <c r="AD299" s="159"/>
      <c r="AE299" s="159"/>
      <c r="AF299" s="159"/>
      <c r="AG299" s="159"/>
      <c r="AH299" s="159"/>
      <c r="AI299" s="159"/>
      <c r="AJ299" s="159"/>
      <c r="AK299" s="159"/>
      <c r="AL299" s="159"/>
      <c r="AM299" s="159"/>
      <c r="AN299" s="159"/>
      <c r="AO299" s="159"/>
      <c r="AP299" s="159"/>
      <c r="AQ299" s="159"/>
      <c r="AR299" s="159"/>
    </row>
    <row r="300" spans="1:50" s="280" customFormat="1" ht="12.75" customHeight="1">
      <c r="A300" s="281"/>
      <c r="B300" s="282"/>
      <c r="C300" s="350" t="s">
        <v>154</v>
      </c>
      <c r="D300" s="283"/>
      <c r="E300" s="290"/>
      <c r="F300" s="285"/>
      <c r="G300" s="286"/>
      <c r="H300" s="285"/>
      <c r="I300" s="285"/>
      <c r="J300" s="286"/>
      <c r="K300" s="285"/>
      <c r="L300" s="287"/>
      <c r="M300" s="288"/>
      <c r="N300" s="289"/>
      <c r="O300" s="290"/>
      <c r="P300" s="285"/>
      <c r="Q300" s="286"/>
      <c r="R300" s="290"/>
      <c r="S300" s="290"/>
      <c r="T300" s="291"/>
      <c r="U300" s="292"/>
      <c r="V300" s="295"/>
      <c r="W300" s="294">
        <f>+'ԱՄՓՈՓ  '!F35</f>
        <v>0</v>
      </c>
      <c r="X300" s="362"/>
      <c r="Y300" s="159"/>
      <c r="Z300" s="159"/>
      <c r="AA300" s="159"/>
      <c r="AB300" s="159"/>
      <c r="AC300" s="159"/>
      <c r="AD300" s="159"/>
      <c r="AE300" s="159"/>
      <c r="AF300" s="159"/>
      <c r="AG300" s="159"/>
      <c r="AH300" s="159"/>
      <c r="AI300" s="159"/>
      <c r="AJ300" s="159"/>
      <c r="AK300" s="159"/>
      <c r="AL300" s="159"/>
      <c r="AM300" s="159"/>
      <c r="AN300" s="159"/>
      <c r="AO300" s="159"/>
      <c r="AP300" s="159"/>
      <c r="AQ300" s="159"/>
      <c r="AR300" s="159"/>
    </row>
    <row r="301" spans="1:50" s="280" customFormat="1" ht="15" customHeight="1">
      <c r="A301" s="281"/>
      <c r="B301" s="282"/>
      <c r="C301" s="350" t="s">
        <v>153</v>
      </c>
      <c r="D301" s="283"/>
      <c r="E301" s="290"/>
      <c r="F301" s="285"/>
      <c r="G301" s="286"/>
      <c r="H301" s="285"/>
      <c r="I301" s="285"/>
      <c r="J301" s="286"/>
      <c r="K301" s="285"/>
      <c r="L301" s="287"/>
      <c r="M301" s="288"/>
      <c r="N301" s="289"/>
      <c r="O301" s="290"/>
      <c r="P301" s="285"/>
      <c r="Q301" s="286"/>
      <c r="R301" s="290"/>
      <c r="S301" s="290"/>
      <c r="T301" s="291"/>
      <c r="U301" s="292"/>
      <c r="V301" s="295"/>
      <c r="W301" s="294">
        <f>+W299+W300</f>
        <v>45322.429114773782</v>
      </c>
      <c r="X301" s="362"/>
      <c r="Y301" s="159"/>
      <c r="Z301" s="159"/>
      <c r="AA301" s="159"/>
      <c r="AB301" s="159"/>
      <c r="AC301" s="159"/>
      <c r="AD301" s="159"/>
      <c r="AE301" s="159"/>
      <c r="AF301" s="159"/>
      <c r="AG301" s="159"/>
      <c r="AH301" s="159"/>
      <c r="AI301" s="159"/>
      <c r="AJ301" s="159"/>
      <c r="AK301" s="159"/>
      <c r="AL301" s="159"/>
      <c r="AM301" s="159"/>
      <c r="AN301" s="159"/>
      <c r="AO301" s="159"/>
      <c r="AP301" s="159"/>
      <c r="AQ301" s="159"/>
      <c r="AR301" s="159"/>
    </row>
    <row r="302" spans="1:50" s="280" customFormat="1" ht="13.5" customHeight="1">
      <c r="A302" s="281"/>
      <c r="B302" s="282"/>
      <c r="C302" s="349" t="s">
        <v>152</v>
      </c>
      <c r="D302" s="283">
        <v>0.2</v>
      </c>
      <c r="E302" s="290"/>
      <c r="F302" s="285"/>
      <c r="G302" s="286"/>
      <c r="H302" s="285"/>
      <c r="I302" s="285"/>
      <c r="J302" s="286"/>
      <c r="K302" s="285"/>
      <c r="L302" s="287"/>
      <c r="M302" s="288"/>
      <c r="N302" s="289"/>
      <c r="O302" s="290"/>
      <c r="P302" s="285"/>
      <c r="Q302" s="286"/>
      <c r="R302" s="290"/>
      <c r="S302" s="290"/>
      <c r="T302" s="291"/>
      <c r="U302" s="292"/>
      <c r="V302" s="295"/>
      <c r="W302" s="294">
        <f>+(W301)*D302</f>
        <v>9064.4858229547572</v>
      </c>
      <c r="X302" s="362"/>
      <c r="Y302" s="159"/>
      <c r="Z302" s="159"/>
      <c r="AA302" s="159"/>
      <c r="AB302" s="159"/>
      <c r="AC302" s="159"/>
      <c r="AD302" s="159"/>
      <c r="AE302" s="159"/>
      <c r="AF302" s="159"/>
      <c r="AG302" s="159"/>
      <c r="AH302" s="159"/>
      <c r="AI302" s="159"/>
      <c r="AJ302" s="159"/>
      <c r="AK302" s="159"/>
      <c r="AL302" s="159"/>
      <c r="AM302" s="159"/>
      <c r="AN302" s="159"/>
      <c r="AO302" s="159"/>
      <c r="AP302" s="159"/>
      <c r="AQ302" s="159"/>
      <c r="AR302" s="159"/>
    </row>
    <row r="303" spans="1:50" s="280" customFormat="1" ht="13.5" customHeight="1">
      <c r="A303" s="281"/>
      <c r="B303" s="282"/>
      <c r="C303" s="351" t="s">
        <v>151</v>
      </c>
      <c r="D303" s="296"/>
      <c r="E303" s="290"/>
      <c r="F303" s="285"/>
      <c r="G303" s="286"/>
      <c r="H303" s="285"/>
      <c r="I303" s="285"/>
      <c r="J303" s="286"/>
      <c r="K303" s="285"/>
      <c r="L303" s="287"/>
      <c r="M303" s="288"/>
      <c r="N303" s="289"/>
      <c r="O303" s="290"/>
      <c r="P303" s="285"/>
      <c r="Q303" s="286"/>
      <c r="R303" s="290"/>
      <c r="S303" s="290"/>
      <c r="T303" s="291"/>
      <c r="U303" s="292"/>
      <c r="V303" s="295"/>
      <c r="W303" s="297">
        <f>SUM(W301:W302)</f>
        <v>54386.914937728536</v>
      </c>
      <c r="X303" s="362"/>
      <c r="Y303" s="159"/>
      <c r="Z303" s="159"/>
      <c r="AA303" s="159"/>
      <c r="AB303" s="159"/>
      <c r="AC303" s="159"/>
      <c r="AD303" s="159"/>
      <c r="AE303" s="159"/>
      <c r="AF303" s="159"/>
      <c r="AG303" s="159"/>
      <c r="AH303" s="159"/>
      <c r="AI303" s="159"/>
      <c r="AJ303" s="159"/>
      <c r="AK303" s="159"/>
      <c r="AL303" s="159"/>
      <c r="AM303" s="159"/>
      <c r="AN303" s="159"/>
      <c r="AO303" s="159"/>
      <c r="AP303" s="159"/>
      <c r="AQ303" s="159"/>
      <c r="AR303" s="159"/>
    </row>
    <row r="304" spans="1:50" s="280" customFormat="1" ht="14.25" customHeight="1" thickBot="1">
      <c r="A304" s="359"/>
      <c r="B304" s="298"/>
      <c r="C304" s="352" t="s">
        <v>155</v>
      </c>
      <c r="D304" s="299"/>
      <c r="E304" s="300"/>
      <c r="F304" s="301"/>
      <c r="G304" s="302"/>
      <c r="H304" s="301"/>
      <c r="I304" s="301"/>
      <c r="J304" s="302"/>
      <c r="K304" s="301"/>
      <c r="L304" s="303"/>
      <c r="M304" s="304"/>
      <c r="N304" s="305"/>
      <c r="O304" s="306"/>
      <c r="P304" s="305"/>
      <c r="Q304" s="306"/>
      <c r="R304" s="306"/>
      <c r="S304" s="306"/>
      <c r="T304" s="307"/>
      <c r="U304" s="306"/>
      <c r="V304" s="308"/>
      <c r="W304" s="463">
        <f>+W303</f>
        <v>54386.914937728536</v>
      </c>
      <c r="X304" s="363"/>
      <c r="Y304" s="464">
        <f>+'ԱՄՓՈՓ  '!D67+'ԱՄՓՈՓ  '!F35*1.2</f>
        <v>28437.412535910571</v>
      </c>
      <c r="Z304" s="369">
        <f>+W304-Y304</f>
        <v>25949.502401817965</v>
      </c>
      <c r="AA304" s="159"/>
      <c r="AB304" s="159"/>
      <c r="AC304" s="159"/>
      <c r="AD304" s="159"/>
      <c r="AE304" s="159"/>
      <c r="AF304" s="159"/>
      <c r="AG304" s="159"/>
      <c r="AH304" s="159"/>
      <c r="AI304" s="159"/>
      <c r="AJ304" s="159"/>
      <c r="AK304" s="159"/>
      <c r="AL304" s="159"/>
      <c r="AM304" s="159"/>
      <c r="AN304" s="159"/>
      <c r="AO304" s="159"/>
      <c r="AP304" s="159"/>
      <c r="AQ304" s="159"/>
      <c r="AR304" s="159"/>
    </row>
    <row r="305" spans="1:44" s="158" customFormat="1" ht="21" customHeight="1" thickTop="1">
      <c r="A305" s="160"/>
      <c r="B305" s="161"/>
      <c r="C305" s="1206" t="s">
        <v>178</v>
      </c>
      <c r="D305" s="1206"/>
      <c r="E305" s="1206"/>
      <c r="F305" s="1206"/>
      <c r="G305" s="1206"/>
      <c r="H305" s="1206"/>
      <c r="I305" s="1206"/>
      <c r="J305" s="1206"/>
      <c r="K305" s="1206"/>
      <c r="L305" s="1206"/>
      <c r="M305" s="1206"/>
      <c r="N305" s="1206"/>
      <c r="O305" s="1206"/>
      <c r="P305" s="1206"/>
      <c r="Q305" s="1206"/>
      <c r="R305" s="1206"/>
      <c r="S305" s="1206"/>
      <c r="T305" s="1206"/>
      <c r="U305" s="1206"/>
      <c r="V305" s="1206"/>
      <c r="W305" s="1206"/>
      <c r="X305" s="362"/>
      <c r="Y305" s="159"/>
      <c r="Z305" s="159"/>
      <c r="AA305" s="159"/>
      <c r="AB305" s="159"/>
      <c r="AC305" s="159"/>
      <c r="AD305" s="159"/>
      <c r="AE305" s="159"/>
      <c r="AF305" s="159"/>
      <c r="AG305" s="159"/>
      <c r="AH305" s="159"/>
      <c r="AI305" s="159"/>
      <c r="AJ305" s="159"/>
      <c r="AK305" s="159"/>
      <c r="AL305" s="159"/>
      <c r="AM305" s="159"/>
      <c r="AN305" s="159"/>
      <c r="AO305" s="159"/>
      <c r="AP305" s="159"/>
      <c r="AQ305" s="159"/>
      <c r="AR305" s="159"/>
    </row>
  </sheetData>
  <mergeCells count="1407">
    <mergeCell ref="U292:U293"/>
    <mergeCell ref="F293:H293"/>
    <mergeCell ref="I293:K293"/>
    <mergeCell ref="A294:A295"/>
    <mergeCell ref="B294:B295"/>
    <mergeCell ref="C294:C295"/>
    <mergeCell ref="D294:D295"/>
    <mergeCell ref="E294:E295"/>
    <mergeCell ref="F294:H294"/>
    <mergeCell ref="I294:K294"/>
    <mergeCell ref="S294:S295"/>
    <mergeCell ref="T294:T295"/>
    <mergeCell ref="U294:U295"/>
    <mergeCell ref="F295:H295"/>
    <mergeCell ref="I295:K295"/>
    <mergeCell ref="A292:A293"/>
    <mergeCell ref="B292:B293"/>
    <mergeCell ref="C292:C293"/>
    <mergeCell ref="D292:D293"/>
    <mergeCell ref="E292:E293"/>
    <mergeCell ref="F292:H292"/>
    <mergeCell ref="I292:K292"/>
    <mergeCell ref="S292:S293"/>
    <mergeCell ref="T292:T293"/>
    <mergeCell ref="U286:U289"/>
    <mergeCell ref="F287:H289"/>
    <mergeCell ref="I287:K289"/>
    <mergeCell ref="R287:R289"/>
    <mergeCell ref="A290:A291"/>
    <mergeCell ref="B290:B291"/>
    <mergeCell ref="C290:C291"/>
    <mergeCell ref="D290:D291"/>
    <mergeCell ref="E290:E291"/>
    <mergeCell ref="F290:H290"/>
    <mergeCell ref="I290:K290"/>
    <mergeCell ref="S290:S291"/>
    <mergeCell ref="T290:T291"/>
    <mergeCell ref="U290:U291"/>
    <mergeCell ref="F291:H291"/>
    <mergeCell ref="I291:K291"/>
    <mergeCell ref="A286:A289"/>
    <mergeCell ref="B286:B289"/>
    <mergeCell ref="C286:C289"/>
    <mergeCell ref="D286:D289"/>
    <mergeCell ref="E286:E289"/>
    <mergeCell ref="F286:H286"/>
    <mergeCell ref="I286:K286"/>
    <mergeCell ref="S286:S289"/>
    <mergeCell ref="T286:T289"/>
    <mergeCell ref="S282:S283"/>
    <mergeCell ref="T282:T283"/>
    <mergeCell ref="U282:U283"/>
    <mergeCell ref="F283:H283"/>
    <mergeCell ref="I283:K283"/>
    <mergeCell ref="A284:A285"/>
    <mergeCell ref="B284:B285"/>
    <mergeCell ref="C284:C285"/>
    <mergeCell ref="D284:D285"/>
    <mergeCell ref="E284:E285"/>
    <mergeCell ref="F284:H284"/>
    <mergeCell ref="I284:K284"/>
    <mergeCell ref="R284:R285"/>
    <mergeCell ref="S284:S285"/>
    <mergeCell ref="T284:T285"/>
    <mergeCell ref="F285:H285"/>
    <mergeCell ref="I285:K285"/>
    <mergeCell ref="F281:L281"/>
    <mergeCell ref="A282:A283"/>
    <mergeCell ref="B282:B283"/>
    <mergeCell ref="C282:C283"/>
    <mergeCell ref="D282:D283"/>
    <mergeCell ref="E282:E283"/>
    <mergeCell ref="F282:H282"/>
    <mergeCell ref="I282:K282"/>
    <mergeCell ref="R282:R283"/>
    <mergeCell ref="U277:U278"/>
    <mergeCell ref="F278:H278"/>
    <mergeCell ref="I278:K278"/>
    <mergeCell ref="A279:A280"/>
    <mergeCell ref="B279:B280"/>
    <mergeCell ref="C279:C280"/>
    <mergeCell ref="D279:D280"/>
    <mergeCell ref="E279:E280"/>
    <mergeCell ref="F279:H279"/>
    <mergeCell ref="I279:K279"/>
    <mergeCell ref="S279:S280"/>
    <mergeCell ref="T279:T280"/>
    <mergeCell ref="U279:U280"/>
    <mergeCell ref="F280:H280"/>
    <mergeCell ref="I280:K280"/>
    <mergeCell ref="A277:A278"/>
    <mergeCell ref="B277:B278"/>
    <mergeCell ref="C277:C278"/>
    <mergeCell ref="D277:D278"/>
    <mergeCell ref="E277:E278"/>
    <mergeCell ref="F277:H277"/>
    <mergeCell ref="I277:K277"/>
    <mergeCell ref="S277:S278"/>
    <mergeCell ref="T277:T278"/>
    <mergeCell ref="U271:U274"/>
    <mergeCell ref="F272:H274"/>
    <mergeCell ref="I272:K274"/>
    <mergeCell ref="R272:R274"/>
    <mergeCell ref="A275:A276"/>
    <mergeCell ref="B275:B276"/>
    <mergeCell ref="C275:C276"/>
    <mergeCell ref="D275:D276"/>
    <mergeCell ref="E275:E276"/>
    <mergeCell ref="F275:H275"/>
    <mergeCell ref="I275:K275"/>
    <mergeCell ref="S275:S276"/>
    <mergeCell ref="T275:T276"/>
    <mergeCell ref="U275:U276"/>
    <mergeCell ref="F276:H276"/>
    <mergeCell ref="I276:K276"/>
    <mergeCell ref="T269:T270"/>
    <mergeCell ref="F270:H270"/>
    <mergeCell ref="I270:K270"/>
    <mergeCell ref="A271:A274"/>
    <mergeCell ref="B271:B274"/>
    <mergeCell ref="C271:C274"/>
    <mergeCell ref="D271:D274"/>
    <mergeCell ref="E271:E274"/>
    <mergeCell ref="F271:H271"/>
    <mergeCell ref="I271:K271"/>
    <mergeCell ref="S271:S274"/>
    <mergeCell ref="T271:T274"/>
    <mergeCell ref="A269:A270"/>
    <mergeCell ref="B269:B270"/>
    <mergeCell ref="C269:C270"/>
    <mergeCell ref="D269:D270"/>
    <mergeCell ref="E269:E270"/>
    <mergeCell ref="F269:H269"/>
    <mergeCell ref="I269:K269"/>
    <mergeCell ref="R269:R270"/>
    <mergeCell ref="S269:S270"/>
    <mergeCell ref="U264:U265"/>
    <mergeCell ref="F265:H265"/>
    <mergeCell ref="I265:K265"/>
    <mergeCell ref="F266:L266"/>
    <mergeCell ref="A267:A268"/>
    <mergeCell ref="B267:B268"/>
    <mergeCell ref="C267:C268"/>
    <mergeCell ref="D267:D268"/>
    <mergeCell ref="E267:E268"/>
    <mergeCell ref="F267:H267"/>
    <mergeCell ref="I267:K267"/>
    <mergeCell ref="R267:R268"/>
    <mergeCell ref="S267:S268"/>
    <mergeCell ref="T267:T268"/>
    <mergeCell ref="U267:U268"/>
    <mergeCell ref="F268:H268"/>
    <mergeCell ref="I268:K268"/>
    <mergeCell ref="A264:A265"/>
    <mergeCell ref="B264:B265"/>
    <mergeCell ref="C264:C265"/>
    <mergeCell ref="D264:D265"/>
    <mergeCell ref="E264:E265"/>
    <mergeCell ref="F264:H264"/>
    <mergeCell ref="I264:K264"/>
    <mergeCell ref="S264:S265"/>
    <mergeCell ref="T264:T265"/>
    <mergeCell ref="U259:U260"/>
    <mergeCell ref="F260:H260"/>
    <mergeCell ref="I260:K260"/>
    <mergeCell ref="A261:A263"/>
    <mergeCell ref="B261:B263"/>
    <mergeCell ref="C261:C263"/>
    <mergeCell ref="D261:D263"/>
    <mergeCell ref="E261:E263"/>
    <mergeCell ref="F261:H261"/>
    <mergeCell ref="I261:K261"/>
    <mergeCell ref="S261:S263"/>
    <mergeCell ref="T261:T263"/>
    <mergeCell ref="U261:U263"/>
    <mergeCell ref="F262:H263"/>
    <mergeCell ref="I262:K263"/>
    <mergeCell ref="R262:R263"/>
    <mergeCell ref="A259:A260"/>
    <mergeCell ref="B259:B260"/>
    <mergeCell ref="C259:C260"/>
    <mergeCell ref="D259:D260"/>
    <mergeCell ref="E259:E260"/>
    <mergeCell ref="F259:H259"/>
    <mergeCell ref="I259:K259"/>
    <mergeCell ref="S259:S260"/>
    <mergeCell ref="T259:T260"/>
    <mergeCell ref="U255:U256"/>
    <mergeCell ref="F256:H256"/>
    <mergeCell ref="I256:K256"/>
    <mergeCell ref="A257:A258"/>
    <mergeCell ref="B257:B258"/>
    <mergeCell ref="C257:C258"/>
    <mergeCell ref="D257:D258"/>
    <mergeCell ref="E257:E258"/>
    <mergeCell ref="F257:H257"/>
    <mergeCell ref="I257:K257"/>
    <mergeCell ref="S257:S258"/>
    <mergeCell ref="T257:T258"/>
    <mergeCell ref="U257:U258"/>
    <mergeCell ref="F258:H258"/>
    <mergeCell ref="I258:K258"/>
    <mergeCell ref="A255:A256"/>
    <mergeCell ref="B255:B256"/>
    <mergeCell ref="C255:C256"/>
    <mergeCell ref="D255:D256"/>
    <mergeCell ref="E255:E256"/>
    <mergeCell ref="F255:H255"/>
    <mergeCell ref="I255:K255"/>
    <mergeCell ref="S255:S256"/>
    <mergeCell ref="T255:T256"/>
    <mergeCell ref="U251:U252"/>
    <mergeCell ref="F252:H252"/>
    <mergeCell ref="I252:K252"/>
    <mergeCell ref="A253:A254"/>
    <mergeCell ref="B253:B254"/>
    <mergeCell ref="C253:C254"/>
    <mergeCell ref="D253:D254"/>
    <mergeCell ref="E253:E254"/>
    <mergeCell ref="F253:H253"/>
    <mergeCell ref="I253:K253"/>
    <mergeCell ref="S253:S254"/>
    <mergeCell ref="T253:T254"/>
    <mergeCell ref="U253:U254"/>
    <mergeCell ref="F254:H254"/>
    <mergeCell ref="I254:K254"/>
    <mergeCell ref="A251:A252"/>
    <mergeCell ref="B251:B252"/>
    <mergeCell ref="C251:C252"/>
    <mergeCell ref="D251:D252"/>
    <mergeCell ref="E251:E252"/>
    <mergeCell ref="F251:H251"/>
    <mergeCell ref="I251:K251"/>
    <mergeCell ref="S251:S252"/>
    <mergeCell ref="T251:T252"/>
    <mergeCell ref="U246:U248"/>
    <mergeCell ref="F247:H248"/>
    <mergeCell ref="I247:K248"/>
    <mergeCell ref="R247:R248"/>
    <mergeCell ref="A249:A250"/>
    <mergeCell ref="B249:B250"/>
    <mergeCell ref="C249:C250"/>
    <mergeCell ref="D249:D250"/>
    <mergeCell ref="E249:E250"/>
    <mergeCell ref="F249:H249"/>
    <mergeCell ref="I249:K249"/>
    <mergeCell ref="S249:S250"/>
    <mergeCell ref="T249:T250"/>
    <mergeCell ref="U249:U250"/>
    <mergeCell ref="F250:H250"/>
    <mergeCell ref="I250:K250"/>
    <mergeCell ref="A246:A248"/>
    <mergeCell ref="B246:B248"/>
    <mergeCell ref="C246:C248"/>
    <mergeCell ref="D246:D248"/>
    <mergeCell ref="E246:E248"/>
    <mergeCell ref="F246:H246"/>
    <mergeCell ref="I246:K246"/>
    <mergeCell ref="S246:S248"/>
    <mergeCell ref="T246:T248"/>
    <mergeCell ref="U239:U241"/>
    <mergeCell ref="F240:H241"/>
    <mergeCell ref="I240:K241"/>
    <mergeCell ref="R240:R241"/>
    <mergeCell ref="A242:A245"/>
    <mergeCell ref="B242:B245"/>
    <mergeCell ref="C242:C245"/>
    <mergeCell ref="D242:D245"/>
    <mergeCell ref="E242:E245"/>
    <mergeCell ref="F242:H242"/>
    <mergeCell ref="I242:K242"/>
    <mergeCell ref="S242:S245"/>
    <mergeCell ref="T242:T245"/>
    <mergeCell ref="U242:U245"/>
    <mergeCell ref="F243:H245"/>
    <mergeCell ref="I243:K245"/>
    <mergeCell ref="R243:R245"/>
    <mergeCell ref="A239:A241"/>
    <mergeCell ref="B239:B241"/>
    <mergeCell ref="C239:C241"/>
    <mergeCell ref="D239:D241"/>
    <mergeCell ref="E239:E241"/>
    <mergeCell ref="F239:H239"/>
    <mergeCell ref="I239:K239"/>
    <mergeCell ref="S239:S241"/>
    <mergeCell ref="T239:T241"/>
    <mergeCell ref="U235:U236"/>
    <mergeCell ref="F236:H236"/>
    <mergeCell ref="I236:K236"/>
    <mergeCell ref="A237:A238"/>
    <mergeCell ref="B237:B238"/>
    <mergeCell ref="C237:C238"/>
    <mergeCell ref="D237:D238"/>
    <mergeCell ref="E237:E238"/>
    <mergeCell ref="F237:H237"/>
    <mergeCell ref="I237:K237"/>
    <mergeCell ref="S237:S238"/>
    <mergeCell ref="T237:T238"/>
    <mergeCell ref="U237:U238"/>
    <mergeCell ref="F238:H238"/>
    <mergeCell ref="I238:K238"/>
    <mergeCell ref="A235:A236"/>
    <mergeCell ref="B235:B236"/>
    <mergeCell ref="C235:C236"/>
    <mergeCell ref="D235:D236"/>
    <mergeCell ref="E235:E236"/>
    <mergeCell ref="F235:H235"/>
    <mergeCell ref="I235:K235"/>
    <mergeCell ref="S235:S236"/>
    <mergeCell ref="T235:T236"/>
    <mergeCell ref="U228:U231"/>
    <mergeCell ref="F229:H231"/>
    <mergeCell ref="I229:K231"/>
    <mergeCell ref="R229:R231"/>
    <mergeCell ref="A232:A234"/>
    <mergeCell ref="B232:B234"/>
    <mergeCell ref="C232:C234"/>
    <mergeCell ref="D232:D234"/>
    <mergeCell ref="E232:E234"/>
    <mergeCell ref="F232:H232"/>
    <mergeCell ref="I232:K232"/>
    <mergeCell ref="S232:S234"/>
    <mergeCell ref="T232:T234"/>
    <mergeCell ref="U232:U234"/>
    <mergeCell ref="F233:H234"/>
    <mergeCell ref="I233:K234"/>
    <mergeCell ref="R233:R234"/>
    <mergeCell ref="T226:T227"/>
    <mergeCell ref="F227:H227"/>
    <mergeCell ref="I227:K227"/>
    <mergeCell ref="A228:A231"/>
    <mergeCell ref="B228:B231"/>
    <mergeCell ref="C228:C231"/>
    <mergeCell ref="D228:D231"/>
    <mergeCell ref="E228:E231"/>
    <mergeCell ref="F228:H228"/>
    <mergeCell ref="I228:K228"/>
    <mergeCell ref="S228:S231"/>
    <mergeCell ref="T228:T231"/>
    <mergeCell ref="A226:A227"/>
    <mergeCell ref="B226:B227"/>
    <mergeCell ref="C226:C227"/>
    <mergeCell ref="D226:D227"/>
    <mergeCell ref="E226:E227"/>
    <mergeCell ref="F226:H226"/>
    <mergeCell ref="I226:K226"/>
    <mergeCell ref="R226:R227"/>
    <mergeCell ref="S226:S227"/>
    <mergeCell ref="T222:T223"/>
    <mergeCell ref="U222:U223"/>
    <mergeCell ref="F223:H223"/>
    <mergeCell ref="I223:K223"/>
    <mergeCell ref="A224:A225"/>
    <mergeCell ref="B224:B225"/>
    <mergeCell ref="C224:C225"/>
    <mergeCell ref="D224:D225"/>
    <mergeCell ref="E224:E225"/>
    <mergeCell ref="F224:H224"/>
    <mergeCell ref="I224:K224"/>
    <mergeCell ref="R224:R225"/>
    <mergeCell ref="S224:S225"/>
    <mergeCell ref="T224:T225"/>
    <mergeCell ref="U224:U225"/>
    <mergeCell ref="F225:H225"/>
    <mergeCell ref="I225:K225"/>
    <mergeCell ref="A222:A223"/>
    <mergeCell ref="B222:B223"/>
    <mergeCell ref="C222:C223"/>
    <mergeCell ref="D222:D223"/>
    <mergeCell ref="E222:E223"/>
    <mergeCell ref="F222:H222"/>
    <mergeCell ref="I222:K222"/>
    <mergeCell ref="R222:R223"/>
    <mergeCell ref="S222:S223"/>
    <mergeCell ref="U216:U217"/>
    <mergeCell ref="F217:H217"/>
    <mergeCell ref="I217:K217"/>
    <mergeCell ref="A218:A219"/>
    <mergeCell ref="B218:B219"/>
    <mergeCell ref="C218:C219"/>
    <mergeCell ref="D218:D219"/>
    <mergeCell ref="E218:E219"/>
    <mergeCell ref="F218:H218"/>
    <mergeCell ref="I218:K218"/>
    <mergeCell ref="S218:S219"/>
    <mergeCell ref="T218:T219"/>
    <mergeCell ref="U218:U219"/>
    <mergeCell ref="F219:H219"/>
    <mergeCell ref="I219:K219"/>
    <mergeCell ref="A216:A217"/>
    <mergeCell ref="B216:B217"/>
    <mergeCell ref="C216:C217"/>
    <mergeCell ref="D216:D217"/>
    <mergeCell ref="E216:E217"/>
    <mergeCell ref="F216:H216"/>
    <mergeCell ref="I216:K216"/>
    <mergeCell ref="S216:S217"/>
    <mergeCell ref="T216:T217"/>
    <mergeCell ref="U210:U213"/>
    <mergeCell ref="F211:H213"/>
    <mergeCell ref="I211:K213"/>
    <mergeCell ref="R211:R213"/>
    <mergeCell ref="A214:A215"/>
    <mergeCell ref="B214:B215"/>
    <mergeCell ref="C214:C215"/>
    <mergeCell ref="D214:D215"/>
    <mergeCell ref="E214:E215"/>
    <mergeCell ref="F214:H214"/>
    <mergeCell ref="I214:K214"/>
    <mergeCell ref="S214:S215"/>
    <mergeCell ref="T214:T215"/>
    <mergeCell ref="U214:U215"/>
    <mergeCell ref="F215:H215"/>
    <mergeCell ref="I215:K215"/>
    <mergeCell ref="A210:A213"/>
    <mergeCell ref="B210:B213"/>
    <mergeCell ref="C210:C213"/>
    <mergeCell ref="D210:D213"/>
    <mergeCell ref="E210:E213"/>
    <mergeCell ref="F210:H210"/>
    <mergeCell ref="I210:K210"/>
    <mergeCell ref="S210:S213"/>
    <mergeCell ref="T210:T213"/>
    <mergeCell ref="S206:S207"/>
    <mergeCell ref="T206:T207"/>
    <mergeCell ref="U206:U207"/>
    <mergeCell ref="F207:H207"/>
    <mergeCell ref="I207:K207"/>
    <mergeCell ref="A208:A209"/>
    <mergeCell ref="B208:B209"/>
    <mergeCell ref="C208:C209"/>
    <mergeCell ref="D208:D209"/>
    <mergeCell ref="E208:E209"/>
    <mergeCell ref="F208:H208"/>
    <mergeCell ref="I208:K208"/>
    <mergeCell ref="R208:R209"/>
    <mergeCell ref="S208:S209"/>
    <mergeCell ref="T208:T209"/>
    <mergeCell ref="F209:H209"/>
    <mergeCell ref="I209:K209"/>
    <mergeCell ref="F205:L205"/>
    <mergeCell ref="A206:A207"/>
    <mergeCell ref="B206:B207"/>
    <mergeCell ref="C206:C207"/>
    <mergeCell ref="D206:D207"/>
    <mergeCell ref="E206:E207"/>
    <mergeCell ref="F206:H206"/>
    <mergeCell ref="I206:K206"/>
    <mergeCell ref="R206:R207"/>
    <mergeCell ref="U201:U202"/>
    <mergeCell ref="F202:H202"/>
    <mergeCell ref="I202:K202"/>
    <mergeCell ref="A203:A204"/>
    <mergeCell ref="B203:B204"/>
    <mergeCell ref="C203:C204"/>
    <mergeCell ref="D203:D204"/>
    <mergeCell ref="E203:E204"/>
    <mergeCell ref="F203:H203"/>
    <mergeCell ref="I203:K203"/>
    <mergeCell ref="S203:S204"/>
    <mergeCell ref="T203:T204"/>
    <mergeCell ref="U203:U204"/>
    <mergeCell ref="F204:H204"/>
    <mergeCell ref="I204:K204"/>
    <mergeCell ref="A201:A202"/>
    <mergeCell ref="B201:B202"/>
    <mergeCell ref="C201:C202"/>
    <mergeCell ref="D201:D202"/>
    <mergeCell ref="E201:E202"/>
    <mergeCell ref="F201:H201"/>
    <mergeCell ref="I201:K201"/>
    <mergeCell ref="S201:S202"/>
    <mergeCell ref="T201:T202"/>
    <mergeCell ref="U195:U198"/>
    <mergeCell ref="F196:H198"/>
    <mergeCell ref="I196:K198"/>
    <mergeCell ref="R196:R198"/>
    <mergeCell ref="A199:A200"/>
    <mergeCell ref="B199:B200"/>
    <mergeCell ref="C199:C200"/>
    <mergeCell ref="D199:D200"/>
    <mergeCell ref="E199:E200"/>
    <mergeCell ref="F199:H199"/>
    <mergeCell ref="I199:K199"/>
    <mergeCell ref="S199:S200"/>
    <mergeCell ref="T199:T200"/>
    <mergeCell ref="U199:U200"/>
    <mergeCell ref="F200:H200"/>
    <mergeCell ref="I200:K200"/>
    <mergeCell ref="A195:A198"/>
    <mergeCell ref="B195:B198"/>
    <mergeCell ref="C195:C198"/>
    <mergeCell ref="D195:D198"/>
    <mergeCell ref="E195:E198"/>
    <mergeCell ref="F195:H195"/>
    <mergeCell ref="I195:K195"/>
    <mergeCell ref="S195:S198"/>
    <mergeCell ref="T195:T198"/>
    <mergeCell ref="S191:S192"/>
    <mergeCell ref="T191:T192"/>
    <mergeCell ref="U191:U192"/>
    <mergeCell ref="F192:H192"/>
    <mergeCell ref="I192:K192"/>
    <mergeCell ref="A193:A194"/>
    <mergeCell ref="B193:B194"/>
    <mergeCell ref="C193:C194"/>
    <mergeCell ref="D193:D194"/>
    <mergeCell ref="E193:E194"/>
    <mergeCell ref="F193:H193"/>
    <mergeCell ref="I193:K193"/>
    <mergeCell ref="R193:R194"/>
    <mergeCell ref="S193:S194"/>
    <mergeCell ref="T193:T194"/>
    <mergeCell ref="F194:H194"/>
    <mergeCell ref="I194:K194"/>
    <mergeCell ref="F190:L190"/>
    <mergeCell ref="A191:A192"/>
    <mergeCell ref="B191:B192"/>
    <mergeCell ref="C191:C192"/>
    <mergeCell ref="D191:D192"/>
    <mergeCell ref="E191:E192"/>
    <mergeCell ref="F191:H191"/>
    <mergeCell ref="I191:K191"/>
    <mergeCell ref="R191:R192"/>
    <mergeCell ref="U186:U187"/>
    <mergeCell ref="F187:H187"/>
    <mergeCell ref="I187:K187"/>
    <mergeCell ref="A188:A189"/>
    <mergeCell ref="B188:B189"/>
    <mergeCell ref="C188:C189"/>
    <mergeCell ref="D188:D189"/>
    <mergeCell ref="E188:E189"/>
    <mergeCell ref="F188:H188"/>
    <mergeCell ref="I188:K188"/>
    <mergeCell ref="S188:S189"/>
    <mergeCell ref="T188:T189"/>
    <mergeCell ref="U188:U189"/>
    <mergeCell ref="F189:H189"/>
    <mergeCell ref="I189:K189"/>
    <mergeCell ref="A186:A187"/>
    <mergeCell ref="B186:B187"/>
    <mergeCell ref="C186:C187"/>
    <mergeCell ref="D186:D187"/>
    <mergeCell ref="E186:E187"/>
    <mergeCell ref="F186:H186"/>
    <mergeCell ref="I186:K186"/>
    <mergeCell ref="S186:S187"/>
    <mergeCell ref="T186:T187"/>
    <mergeCell ref="U180:U183"/>
    <mergeCell ref="F181:H183"/>
    <mergeCell ref="I181:K183"/>
    <mergeCell ref="R181:R183"/>
    <mergeCell ref="A184:A185"/>
    <mergeCell ref="B184:B185"/>
    <mergeCell ref="C184:C185"/>
    <mergeCell ref="D184:D185"/>
    <mergeCell ref="E184:E185"/>
    <mergeCell ref="F184:H184"/>
    <mergeCell ref="I184:K184"/>
    <mergeCell ref="S184:S185"/>
    <mergeCell ref="T184:T185"/>
    <mergeCell ref="U184:U185"/>
    <mergeCell ref="F185:H185"/>
    <mergeCell ref="I185:K185"/>
    <mergeCell ref="A180:A183"/>
    <mergeCell ref="B180:B183"/>
    <mergeCell ref="C180:C183"/>
    <mergeCell ref="D180:D183"/>
    <mergeCell ref="E180:E183"/>
    <mergeCell ref="F180:H180"/>
    <mergeCell ref="I180:K180"/>
    <mergeCell ref="S180:S183"/>
    <mergeCell ref="T180:T183"/>
    <mergeCell ref="S176:S177"/>
    <mergeCell ref="T176:T177"/>
    <mergeCell ref="U176:U177"/>
    <mergeCell ref="F177:H177"/>
    <mergeCell ref="I177:K177"/>
    <mergeCell ref="A178:A179"/>
    <mergeCell ref="B178:B179"/>
    <mergeCell ref="C178:C179"/>
    <mergeCell ref="D178:D179"/>
    <mergeCell ref="E178:E179"/>
    <mergeCell ref="F178:H178"/>
    <mergeCell ref="I178:K178"/>
    <mergeCell ref="R178:R179"/>
    <mergeCell ref="S178:S179"/>
    <mergeCell ref="T178:T179"/>
    <mergeCell ref="F179:H179"/>
    <mergeCell ref="I179:K179"/>
    <mergeCell ref="F175:L175"/>
    <mergeCell ref="A176:A177"/>
    <mergeCell ref="B176:B177"/>
    <mergeCell ref="C176:C177"/>
    <mergeCell ref="D176:D177"/>
    <mergeCell ref="E176:E177"/>
    <mergeCell ref="F176:H176"/>
    <mergeCell ref="I176:K176"/>
    <mergeCell ref="R176:R177"/>
    <mergeCell ref="U170:U172"/>
    <mergeCell ref="F171:H172"/>
    <mergeCell ref="I171:K172"/>
    <mergeCell ref="R171:R172"/>
    <mergeCell ref="A173:A174"/>
    <mergeCell ref="B173:B174"/>
    <mergeCell ref="C173:C174"/>
    <mergeCell ref="D173:D174"/>
    <mergeCell ref="E173:E174"/>
    <mergeCell ref="F173:H173"/>
    <mergeCell ref="I173:K173"/>
    <mergeCell ref="S173:S174"/>
    <mergeCell ref="T173:T174"/>
    <mergeCell ref="U173:U174"/>
    <mergeCell ref="F174:H174"/>
    <mergeCell ref="I174:K174"/>
    <mergeCell ref="A170:A172"/>
    <mergeCell ref="B170:B172"/>
    <mergeCell ref="C170:C172"/>
    <mergeCell ref="D170:D172"/>
    <mergeCell ref="E170:E172"/>
    <mergeCell ref="F170:H170"/>
    <mergeCell ref="I170:K170"/>
    <mergeCell ref="S170:S172"/>
    <mergeCell ref="T170:T172"/>
    <mergeCell ref="U166:U167"/>
    <mergeCell ref="F167:H167"/>
    <mergeCell ref="I167:K167"/>
    <mergeCell ref="A168:A169"/>
    <mergeCell ref="B168:B169"/>
    <mergeCell ref="C168:C169"/>
    <mergeCell ref="D168:D169"/>
    <mergeCell ref="E168:E169"/>
    <mergeCell ref="F168:H168"/>
    <mergeCell ref="I168:K168"/>
    <mergeCell ref="S168:S169"/>
    <mergeCell ref="T168:T169"/>
    <mergeCell ref="U168:U169"/>
    <mergeCell ref="F169:H169"/>
    <mergeCell ref="I169:K169"/>
    <mergeCell ref="A166:A167"/>
    <mergeCell ref="B166:B167"/>
    <mergeCell ref="C166:C167"/>
    <mergeCell ref="D166:D167"/>
    <mergeCell ref="E166:E167"/>
    <mergeCell ref="F166:H166"/>
    <mergeCell ref="I166:K166"/>
    <mergeCell ref="S166:S167"/>
    <mergeCell ref="T166:T167"/>
    <mergeCell ref="U162:U163"/>
    <mergeCell ref="F163:H163"/>
    <mergeCell ref="I163:K163"/>
    <mergeCell ref="A164:A165"/>
    <mergeCell ref="B164:B165"/>
    <mergeCell ref="C164:C165"/>
    <mergeCell ref="D164:D165"/>
    <mergeCell ref="E164:E165"/>
    <mergeCell ref="F164:H164"/>
    <mergeCell ref="I164:K164"/>
    <mergeCell ref="S164:S165"/>
    <mergeCell ref="T164:T165"/>
    <mergeCell ref="U164:U165"/>
    <mergeCell ref="F165:H165"/>
    <mergeCell ref="I165:K165"/>
    <mergeCell ref="A162:A163"/>
    <mergeCell ref="B162:B163"/>
    <mergeCell ref="C162:C163"/>
    <mergeCell ref="D162:D163"/>
    <mergeCell ref="E162:E163"/>
    <mergeCell ref="F162:H162"/>
    <mergeCell ref="I162:K162"/>
    <mergeCell ref="S162:S163"/>
    <mergeCell ref="T162:T163"/>
    <mergeCell ref="U158:U159"/>
    <mergeCell ref="F159:H159"/>
    <mergeCell ref="I159:K159"/>
    <mergeCell ref="A160:A161"/>
    <mergeCell ref="B160:B161"/>
    <mergeCell ref="C160:C161"/>
    <mergeCell ref="D160:D161"/>
    <mergeCell ref="E160:E161"/>
    <mergeCell ref="F160:H160"/>
    <mergeCell ref="I160:K160"/>
    <mergeCell ref="S160:S161"/>
    <mergeCell ref="T160:T161"/>
    <mergeCell ref="U160:U161"/>
    <mergeCell ref="F161:H161"/>
    <mergeCell ref="I161:K161"/>
    <mergeCell ref="A158:A159"/>
    <mergeCell ref="B158:B159"/>
    <mergeCell ref="C158:C159"/>
    <mergeCell ref="D158:D159"/>
    <mergeCell ref="E158:E159"/>
    <mergeCell ref="F158:H158"/>
    <mergeCell ref="I158:K158"/>
    <mergeCell ref="S158:S159"/>
    <mergeCell ref="T158:T159"/>
    <mergeCell ref="U151:U154"/>
    <mergeCell ref="F152:H154"/>
    <mergeCell ref="I152:K154"/>
    <mergeCell ref="R152:R154"/>
    <mergeCell ref="A155:A157"/>
    <mergeCell ref="B155:B157"/>
    <mergeCell ref="C155:C157"/>
    <mergeCell ref="D155:D157"/>
    <mergeCell ref="E155:E157"/>
    <mergeCell ref="F155:H155"/>
    <mergeCell ref="I155:K155"/>
    <mergeCell ref="S155:S157"/>
    <mergeCell ref="T155:T157"/>
    <mergeCell ref="U155:U157"/>
    <mergeCell ref="F156:H157"/>
    <mergeCell ref="I156:K157"/>
    <mergeCell ref="R156:R157"/>
    <mergeCell ref="A151:A154"/>
    <mergeCell ref="B151:B154"/>
    <mergeCell ref="C151:C154"/>
    <mergeCell ref="D151:D154"/>
    <mergeCell ref="E151:E154"/>
    <mergeCell ref="F151:H151"/>
    <mergeCell ref="I151:K151"/>
    <mergeCell ref="S151:S154"/>
    <mergeCell ref="T151:T154"/>
    <mergeCell ref="U145:U147"/>
    <mergeCell ref="F146:H147"/>
    <mergeCell ref="I146:K147"/>
    <mergeCell ref="R146:R147"/>
    <mergeCell ref="A148:A150"/>
    <mergeCell ref="B148:B150"/>
    <mergeCell ref="C148:C150"/>
    <mergeCell ref="D148:D150"/>
    <mergeCell ref="E148:E150"/>
    <mergeCell ref="F148:H148"/>
    <mergeCell ref="I148:K148"/>
    <mergeCell ref="S148:S150"/>
    <mergeCell ref="T148:T150"/>
    <mergeCell ref="U148:U150"/>
    <mergeCell ref="F149:H150"/>
    <mergeCell ref="I149:K150"/>
    <mergeCell ref="R149:R150"/>
    <mergeCell ref="A145:A147"/>
    <mergeCell ref="B145:B147"/>
    <mergeCell ref="C145:C147"/>
    <mergeCell ref="D145:D147"/>
    <mergeCell ref="E145:E147"/>
    <mergeCell ref="F145:H145"/>
    <mergeCell ref="I145:K145"/>
    <mergeCell ref="S145:S147"/>
    <mergeCell ref="T145:T147"/>
    <mergeCell ref="U141:U142"/>
    <mergeCell ref="F142:H142"/>
    <mergeCell ref="I142:K142"/>
    <mergeCell ref="A143:A144"/>
    <mergeCell ref="B143:B144"/>
    <mergeCell ref="C143:C144"/>
    <mergeCell ref="D143:D144"/>
    <mergeCell ref="E143:E144"/>
    <mergeCell ref="F143:H143"/>
    <mergeCell ref="I143:K143"/>
    <mergeCell ref="S143:S144"/>
    <mergeCell ref="T143:T144"/>
    <mergeCell ref="U143:U144"/>
    <mergeCell ref="F144:H144"/>
    <mergeCell ref="I144:K144"/>
    <mergeCell ref="A141:A142"/>
    <mergeCell ref="B141:B142"/>
    <mergeCell ref="C141:C142"/>
    <mergeCell ref="D141:D142"/>
    <mergeCell ref="E141:E142"/>
    <mergeCell ref="F141:H141"/>
    <mergeCell ref="I141:K141"/>
    <mergeCell ref="S141:S142"/>
    <mergeCell ref="T141:T142"/>
    <mergeCell ref="U134:U137"/>
    <mergeCell ref="F135:H137"/>
    <mergeCell ref="I135:K137"/>
    <mergeCell ref="R135:R137"/>
    <mergeCell ref="A138:A140"/>
    <mergeCell ref="B138:B140"/>
    <mergeCell ref="C138:C140"/>
    <mergeCell ref="D138:D140"/>
    <mergeCell ref="E138:E140"/>
    <mergeCell ref="F138:H138"/>
    <mergeCell ref="I138:K138"/>
    <mergeCell ref="S138:S140"/>
    <mergeCell ref="T138:T140"/>
    <mergeCell ref="U138:U140"/>
    <mergeCell ref="F139:H140"/>
    <mergeCell ref="I139:K140"/>
    <mergeCell ref="R139:R140"/>
    <mergeCell ref="T132:T133"/>
    <mergeCell ref="F133:H133"/>
    <mergeCell ref="I133:K133"/>
    <mergeCell ref="A134:A137"/>
    <mergeCell ref="B134:B137"/>
    <mergeCell ref="C134:C137"/>
    <mergeCell ref="D134:D137"/>
    <mergeCell ref="E134:E137"/>
    <mergeCell ref="F134:H134"/>
    <mergeCell ref="I134:K134"/>
    <mergeCell ref="S134:S137"/>
    <mergeCell ref="T134:T137"/>
    <mergeCell ref="A132:A133"/>
    <mergeCell ref="B132:B133"/>
    <mergeCell ref="C132:C133"/>
    <mergeCell ref="D132:D133"/>
    <mergeCell ref="E132:E133"/>
    <mergeCell ref="F132:H132"/>
    <mergeCell ref="I132:K132"/>
    <mergeCell ref="R132:R133"/>
    <mergeCell ref="S132:S133"/>
    <mergeCell ref="T128:T129"/>
    <mergeCell ref="U128:U129"/>
    <mergeCell ref="F129:H129"/>
    <mergeCell ref="I129:K129"/>
    <mergeCell ref="A130:A131"/>
    <mergeCell ref="B130:B131"/>
    <mergeCell ref="C130:C131"/>
    <mergeCell ref="D130:D131"/>
    <mergeCell ref="E130:E131"/>
    <mergeCell ref="F130:H130"/>
    <mergeCell ref="I130:K130"/>
    <mergeCell ref="R130:R131"/>
    <mergeCell ref="S130:S131"/>
    <mergeCell ref="T130:T131"/>
    <mergeCell ref="U130:U131"/>
    <mergeCell ref="F131:H131"/>
    <mergeCell ref="I131:K131"/>
    <mergeCell ref="A128:A129"/>
    <mergeCell ref="B128:B129"/>
    <mergeCell ref="C128:C129"/>
    <mergeCell ref="D128:D129"/>
    <mergeCell ref="E128:E129"/>
    <mergeCell ref="F128:H128"/>
    <mergeCell ref="I128:K128"/>
    <mergeCell ref="R128:R129"/>
    <mergeCell ref="S128:S129"/>
    <mergeCell ref="U122:U123"/>
    <mergeCell ref="F123:H123"/>
    <mergeCell ref="I123:K123"/>
    <mergeCell ref="A124:A125"/>
    <mergeCell ref="B124:B125"/>
    <mergeCell ref="C124:C125"/>
    <mergeCell ref="D124:D125"/>
    <mergeCell ref="E124:E125"/>
    <mergeCell ref="F124:H124"/>
    <mergeCell ref="I124:K124"/>
    <mergeCell ref="S124:S125"/>
    <mergeCell ref="T124:T125"/>
    <mergeCell ref="U124:U125"/>
    <mergeCell ref="F125:H125"/>
    <mergeCell ref="I125:K125"/>
    <mergeCell ref="A122:A123"/>
    <mergeCell ref="B122:B123"/>
    <mergeCell ref="C122:C123"/>
    <mergeCell ref="D122:D123"/>
    <mergeCell ref="E122:E123"/>
    <mergeCell ref="F122:H122"/>
    <mergeCell ref="I122:K122"/>
    <mergeCell ref="S122:S123"/>
    <mergeCell ref="T122:T123"/>
    <mergeCell ref="U116:U119"/>
    <mergeCell ref="F117:H119"/>
    <mergeCell ref="I117:K119"/>
    <mergeCell ref="R117:R119"/>
    <mergeCell ref="A120:A121"/>
    <mergeCell ref="B120:B121"/>
    <mergeCell ref="C120:C121"/>
    <mergeCell ref="D120:D121"/>
    <mergeCell ref="E120:E121"/>
    <mergeCell ref="F120:H120"/>
    <mergeCell ref="I120:K120"/>
    <mergeCell ref="S120:S121"/>
    <mergeCell ref="T120:T121"/>
    <mergeCell ref="U120:U121"/>
    <mergeCell ref="F121:H121"/>
    <mergeCell ref="I121:K121"/>
    <mergeCell ref="A116:A119"/>
    <mergeCell ref="B116:B119"/>
    <mergeCell ref="C116:C119"/>
    <mergeCell ref="D116:D119"/>
    <mergeCell ref="E116:E119"/>
    <mergeCell ref="F116:H116"/>
    <mergeCell ref="I116:K116"/>
    <mergeCell ref="S116:S119"/>
    <mergeCell ref="T116:T119"/>
    <mergeCell ref="S112:S113"/>
    <mergeCell ref="T112:T113"/>
    <mergeCell ref="U112:U113"/>
    <mergeCell ref="F113:H113"/>
    <mergeCell ref="I113:K113"/>
    <mergeCell ref="A114:A115"/>
    <mergeCell ref="B114:B115"/>
    <mergeCell ref="C114:C115"/>
    <mergeCell ref="D114:D115"/>
    <mergeCell ref="E114:E115"/>
    <mergeCell ref="F114:H114"/>
    <mergeCell ref="I114:K114"/>
    <mergeCell ref="R114:R115"/>
    <mergeCell ref="S114:S115"/>
    <mergeCell ref="T114:T115"/>
    <mergeCell ref="F115:H115"/>
    <mergeCell ref="I115:K115"/>
    <mergeCell ref="F111:L111"/>
    <mergeCell ref="A112:A113"/>
    <mergeCell ref="B112:B113"/>
    <mergeCell ref="C112:C113"/>
    <mergeCell ref="D112:D113"/>
    <mergeCell ref="E112:E113"/>
    <mergeCell ref="F112:H112"/>
    <mergeCell ref="I112:K112"/>
    <mergeCell ref="R112:R113"/>
    <mergeCell ref="U106:U108"/>
    <mergeCell ref="F107:H108"/>
    <mergeCell ref="I107:K108"/>
    <mergeCell ref="R107:R108"/>
    <mergeCell ref="A109:A110"/>
    <mergeCell ref="B109:B110"/>
    <mergeCell ref="C109:C110"/>
    <mergeCell ref="D109:D110"/>
    <mergeCell ref="E109:E110"/>
    <mergeCell ref="F109:H109"/>
    <mergeCell ref="I109:K109"/>
    <mergeCell ref="S109:S110"/>
    <mergeCell ref="T109:T110"/>
    <mergeCell ref="U109:U110"/>
    <mergeCell ref="F110:H110"/>
    <mergeCell ref="I110:K110"/>
    <mergeCell ref="A106:A108"/>
    <mergeCell ref="B106:B108"/>
    <mergeCell ref="C106:C108"/>
    <mergeCell ref="D106:D108"/>
    <mergeCell ref="E106:E108"/>
    <mergeCell ref="F106:H106"/>
    <mergeCell ref="I106:K106"/>
    <mergeCell ref="S106:S108"/>
    <mergeCell ref="T106:T108"/>
    <mergeCell ref="U102:U103"/>
    <mergeCell ref="F103:H103"/>
    <mergeCell ref="I103:K103"/>
    <mergeCell ref="A104:A105"/>
    <mergeCell ref="B104:B105"/>
    <mergeCell ref="C104:C105"/>
    <mergeCell ref="D104:D105"/>
    <mergeCell ref="E104:E105"/>
    <mergeCell ref="F104:H104"/>
    <mergeCell ref="I104:K104"/>
    <mergeCell ref="S104:S105"/>
    <mergeCell ref="T104:T105"/>
    <mergeCell ref="U104:U105"/>
    <mergeCell ref="F105:H105"/>
    <mergeCell ref="I105:K105"/>
    <mergeCell ref="A102:A103"/>
    <mergeCell ref="B102:B103"/>
    <mergeCell ref="C102:C103"/>
    <mergeCell ref="D102:D103"/>
    <mergeCell ref="E102:E103"/>
    <mergeCell ref="F102:H102"/>
    <mergeCell ref="I102:K102"/>
    <mergeCell ref="S102:S103"/>
    <mergeCell ref="T102:T103"/>
    <mergeCell ref="U98:U99"/>
    <mergeCell ref="F99:H99"/>
    <mergeCell ref="I99:K99"/>
    <mergeCell ref="A100:A101"/>
    <mergeCell ref="B100:B101"/>
    <mergeCell ref="C100:C101"/>
    <mergeCell ref="D100:D101"/>
    <mergeCell ref="E100:E101"/>
    <mergeCell ref="F100:H100"/>
    <mergeCell ref="I100:K100"/>
    <mergeCell ref="S100:S101"/>
    <mergeCell ref="T100:T101"/>
    <mergeCell ref="U100:U101"/>
    <mergeCell ref="F101:H101"/>
    <mergeCell ref="I101:K101"/>
    <mergeCell ref="A98:A99"/>
    <mergeCell ref="B98:B99"/>
    <mergeCell ref="C98:C99"/>
    <mergeCell ref="D98:D99"/>
    <mergeCell ref="E98:E99"/>
    <mergeCell ref="F98:H98"/>
    <mergeCell ref="I98:K98"/>
    <mergeCell ref="S98:S99"/>
    <mergeCell ref="T98:T99"/>
    <mergeCell ref="U91:U94"/>
    <mergeCell ref="F92:H94"/>
    <mergeCell ref="I92:K94"/>
    <mergeCell ref="R92:R94"/>
    <mergeCell ref="A95:A97"/>
    <mergeCell ref="B95:B97"/>
    <mergeCell ref="C95:C97"/>
    <mergeCell ref="D95:D97"/>
    <mergeCell ref="E95:E97"/>
    <mergeCell ref="F95:H95"/>
    <mergeCell ref="I95:K95"/>
    <mergeCell ref="S95:S97"/>
    <mergeCell ref="T95:T97"/>
    <mergeCell ref="U95:U97"/>
    <mergeCell ref="F96:H97"/>
    <mergeCell ref="I96:K97"/>
    <mergeCell ref="R96:R97"/>
    <mergeCell ref="A91:A94"/>
    <mergeCell ref="B91:B94"/>
    <mergeCell ref="C91:C94"/>
    <mergeCell ref="D91:D94"/>
    <mergeCell ref="E91:E94"/>
    <mergeCell ref="F91:H91"/>
    <mergeCell ref="I91:K91"/>
    <mergeCell ref="S91:S94"/>
    <mergeCell ref="T91:T94"/>
    <mergeCell ref="U85:U87"/>
    <mergeCell ref="F86:H87"/>
    <mergeCell ref="I86:K87"/>
    <mergeCell ref="R86:R87"/>
    <mergeCell ref="A88:A90"/>
    <mergeCell ref="B88:B90"/>
    <mergeCell ref="C88:C90"/>
    <mergeCell ref="D88:D90"/>
    <mergeCell ref="E88:E90"/>
    <mergeCell ref="F88:H88"/>
    <mergeCell ref="I88:K88"/>
    <mergeCell ref="S88:S90"/>
    <mergeCell ref="T88:T90"/>
    <mergeCell ref="U88:U90"/>
    <mergeCell ref="F89:H90"/>
    <mergeCell ref="I89:K90"/>
    <mergeCell ref="R89:R90"/>
    <mergeCell ref="A85:A87"/>
    <mergeCell ref="B85:B87"/>
    <mergeCell ref="C85:C87"/>
    <mergeCell ref="D85:D87"/>
    <mergeCell ref="E85:E87"/>
    <mergeCell ref="F85:H85"/>
    <mergeCell ref="I85:K85"/>
    <mergeCell ref="S85:S87"/>
    <mergeCell ref="T85:T87"/>
    <mergeCell ref="U81:U82"/>
    <mergeCell ref="F82:H82"/>
    <mergeCell ref="I82:K82"/>
    <mergeCell ref="A83:A84"/>
    <mergeCell ref="B83:B84"/>
    <mergeCell ref="C83:C84"/>
    <mergeCell ref="D83:D84"/>
    <mergeCell ref="E83:E84"/>
    <mergeCell ref="F83:H83"/>
    <mergeCell ref="I83:K83"/>
    <mergeCell ref="S83:S84"/>
    <mergeCell ref="T83:T84"/>
    <mergeCell ref="U83:U84"/>
    <mergeCell ref="F84:H84"/>
    <mergeCell ref="I84:K84"/>
    <mergeCell ref="A81:A82"/>
    <mergeCell ref="B81:B82"/>
    <mergeCell ref="C81:C82"/>
    <mergeCell ref="D81:D82"/>
    <mergeCell ref="E81:E82"/>
    <mergeCell ref="F81:H81"/>
    <mergeCell ref="I81:K81"/>
    <mergeCell ref="S81:S82"/>
    <mergeCell ref="T81:T82"/>
    <mergeCell ref="U74:U77"/>
    <mergeCell ref="F75:H77"/>
    <mergeCell ref="I75:K77"/>
    <mergeCell ref="R75:R77"/>
    <mergeCell ref="A78:A80"/>
    <mergeCell ref="B78:B80"/>
    <mergeCell ref="C78:C80"/>
    <mergeCell ref="D78:D80"/>
    <mergeCell ref="E78:E80"/>
    <mergeCell ref="F78:H78"/>
    <mergeCell ref="I78:K78"/>
    <mergeCell ref="S78:S80"/>
    <mergeCell ref="T78:T80"/>
    <mergeCell ref="U78:U80"/>
    <mergeCell ref="F79:H80"/>
    <mergeCell ref="I79:K80"/>
    <mergeCell ref="R79:R80"/>
    <mergeCell ref="T72:T73"/>
    <mergeCell ref="F73:H73"/>
    <mergeCell ref="I73:K73"/>
    <mergeCell ref="A74:A77"/>
    <mergeCell ref="B74:B77"/>
    <mergeCell ref="C74:C77"/>
    <mergeCell ref="D74:D77"/>
    <mergeCell ref="E74:E77"/>
    <mergeCell ref="F74:H74"/>
    <mergeCell ref="I74:K74"/>
    <mergeCell ref="S74:S77"/>
    <mergeCell ref="T74:T77"/>
    <mergeCell ref="A72:A73"/>
    <mergeCell ref="B72:B73"/>
    <mergeCell ref="C72:C73"/>
    <mergeCell ref="D72:D73"/>
    <mergeCell ref="E72:E73"/>
    <mergeCell ref="F72:H72"/>
    <mergeCell ref="I72:K72"/>
    <mergeCell ref="R72:R73"/>
    <mergeCell ref="S72:S73"/>
    <mergeCell ref="T68:T69"/>
    <mergeCell ref="U68:U69"/>
    <mergeCell ref="F69:H69"/>
    <mergeCell ref="I69:K69"/>
    <mergeCell ref="A70:A71"/>
    <mergeCell ref="B70:B71"/>
    <mergeCell ref="C70:C71"/>
    <mergeCell ref="D70:D71"/>
    <mergeCell ref="E70:E71"/>
    <mergeCell ref="F70:H70"/>
    <mergeCell ref="I70:K70"/>
    <mergeCell ref="R70:R71"/>
    <mergeCell ref="S70:S71"/>
    <mergeCell ref="T70:T71"/>
    <mergeCell ref="U70:U71"/>
    <mergeCell ref="F71:H71"/>
    <mergeCell ref="I71:K71"/>
    <mergeCell ref="A68:A69"/>
    <mergeCell ref="B68:B69"/>
    <mergeCell ref="C68:C69"/>
    <mergeCell ref="D68:D69"/>
    <mergeCell ref="E68:E69"/>
    <mergeCell ref="F68:H68"/>
    <mergeCell ref="I68:K68"/>
    <mergeCell ref="R68:R69"/>
    <mergeCell ref="S68:S69"/>
    <mergeCell ref="U63:U65"/>
    <mergeCell ref="F64:H65"/>
    <mergeCell ref="I64:K65"/>
    <mergeCell ref="R64:R65"/>
    <mergeCell ref="A66:A67"/>
    <mergeCell ref="B66:B67"/>
    <mergeCell ref="C66:C67"/>
    <mergeCell ref="D66:D67"/>
    <mergeCell ref="E66:E67"/>
    <mergeCell ref="F66:H66"/>
    <mergeCell ref="I66:K66"/>
    <mergeCell ref="S66:S67"/>
    <mergeCell ref="T66:T67"/>
    <mergeCell ref="U66:U67"/>
    <mergeCell ref="F67:H67"/>
    <mergeCell ref="I67:K67"/>
    <mergeCell ref="A63:A65"/>
    <mergeCell ref="B63:B65"/>
    <mergeCell ref="C63:C65"/>
    <mergeCell ref="D63:D65"/>
    <mergeCell ref="E63:E65"/>
    <mergeCell ref="F63:H63"/>
    <mergeCell ref="I63:K63"/>
    <mergeCell ref="S63:S65"/>
    <mergeCell ref="T63:T65"/>
    <mergeCell ref="U56:U59"/>
    <mergeCell ref="F57:H59"/>
    <mergeCell ref="I57:K59"/>
    <mergeCell ref="R57:R59"/>
    <mergeCell ref="A60:A62"/>
    <mergeCell ref="B60:B62"/>
    <mergeCell ref="C60:C62"/>
    <mergeCell ref="D60:D62"/>
    <mergeCell ref="E60:E62"/>
    <mergeCell ref="F60:H60"/>
    <mergeCell ref="I60:K60"/>
    <mergeCell ref="S60:S62"/>
    <mergeCell ref="T60:T62"/>
    <mergeCell ref="U60:U62"/>
    <mergeCell ref="F61:H62"/>
    <mergeCell ref="I61:K62"/>
    <mergeCell ref="R61:R62"/>
    <mergeCell ref="A56:A59"/>
    <mergeCell ref="B56:B59"/>
    <mergeCell ref="C56:C59"/>
    <mergeCell ref="D56:D59"/>
    <mergeCell ref="E56:E59"/>
    <mergeCell ref="F56:H56"/>
    <mergeCell ref="I56:K56"/>
    <mergeCell ref="S56:S59"/>
    <mergeCell ref="T56:T59"/>
    <mergeCell ref="U50:U53"/>
    <mergeCell ref="F51:H53"/>
    <mergeCell ref="I51:K53"/>
    <mergeCell ref="R51:R53"/>
    <mergeCell ref="A54:A55"/>
    <mergeCell ref="B54:B55"/>
    <mergeCell ref="C54:C55"/>
    <mergeCell ref="D54:D55"/>
    <mergeCell ref="E54:E55"/>
    <mergeCell ref="F54:H54"/>
    <mergeCell ref="I54:K54"/>
    <mergeCell ref="S54:S55"/>
    <mergeCell ref="T54:T55"/>
    <mergeCell ref="U54:U55"/>
    <mergeCell ref="F55:H55"/>
    <mergeCell ref="I55:K55"/>
    <mergeCell ref="A50:A53"/>
    <mergeCell ref="B50:B53"/>
    <mergeCell ref="C50:C53"/>
    <mergeCell ref="D50:D53"/>
    <mergeCell ref="E50:E53"/>
    <mergeCell ref="F50:H50"/>
    <mergeCell ref="I50:K50"/>
    <mergeCell ref="S50:S53"/>
    <mergeCell ref="T50:T53"/>
    <mergeCell ref="U44:U47"/>
    <mergeCell ref="F45:H47"/>
    <mergeCell ref="I45:K47"/>
    <mergeCell ref="R45:R47"/>
    <mergeCell ref="A48:A49"/>
    <mergeCell ref="B48:B49"/>
    <mergeCell ref="C48:C49"/>
    <mergeCell ref="D48:D49"/>
    <mergeCell ref="E48:E49"/>
    <mergeCell ref="F48:H48"/>
    <mergeCell ref="I48:K48"/>
    <mergeCell ref="S48:S49"/>
    <mergeCell ref="T48:T49"/>
    <mergeCell ref="U48:U49"/>
    <mergeCell ref="F49:H49"/>
    <mergeCell ref="I49:K49"/>
    <mergeCell ref="A44:A47"/>
    <mergeCell ref="B44:B47"/>
    <mergeCell ref="C44:C47"/>
    <mergeCell ref="D44:D47"/>
    <mergeCell ref="E44:E47"/>
    <mergeCell ref="F44:H44"/>
    <mergeCell ref="I44:K44"/>
    <mergeCell ref="S44:S47"/>
    <mergeCell ref="T44:T47"/>
    <mergeCell ref="T40:T41"/>
    <mergeCell ref="U40:U41"/>
    <mergeCell ref="F41:H41"/>
    <mergeCell ref="I41:K41"/>
    <mergeCell ref="A42:A43"/>
    <mergeCell ref="B42:B43"/>
    <mergeCell ref="C42:C43"/>
    <mergeCell ref="D42:D43"/>
    <mergeCell ref="E42:E43"/>
    <mergeCell ref="F42:H42"/>
    <mergeCell ref="I42:K42"/>
    <mergeCell ref="S42:S43"/>
    <mergeCell ref="T42:T43"/>
    <mergeCell ref="U42:U43"/>
    <mergeCell ref="F43:H43"/>
    <mergeCell ref="I43:K43"/>
    <mergeCell ref="A40:A41"/>
    <mergeCell ref="B40:B41"/>
    <mergeCell ref="C40:C41"/>
    <mergeCell ref="D40:D41"/>
    <mergeCell ref="E40:E41"/>
    <mergeCell ref="F40:H40"/>
    <mergeCell ref="I40:K40"/>
    <mergeCell ref="R40:R41"/>
    <mergeCell ref="S40:S41"/>
    <mergeCell ref="U36:U37"/>
    <mergeCell ref="F37:H37"/>
    <mergeCell ref="I37:K37"/>
    <mergeCell ref="A38:A39"/>
    <mergeCell ref="B38:B39"/>
    <mergeCell ref="C38:C39"/>
    <mergeCell ref="D38:D39"/>
    <mergeCell ref="E38:E39"/>
    <mergeCell ref="F38:H38"/>
    <mergeCell ref="I38:K38"/>
    <mergeCell ref="R38:R39"/>
    <mergeCell ref="S38:S39"/>
    <mergeCell ref="T38:T39"/>
    <mergeCell ref="U38:U39"/>
    <mergeCell ref="F39:H39"/>
    <mergeCell ref="I39:K39"/>
    <mergeCell ref="A36:A37"/>
    <mergeCell ref="B36:B37"/>
    <mergeCell ref="C36:C37"/>
    <mergeCell ref="D36:D37"/>
    <mergeCell ref="E36:E37"/>
    <mergeCell ref="F36:H36"/>
    <mergeCell ref="I36:K36"/>
    <mergeCell ref="S36:S37"/>
    <mergeCell ref="T36:T37"/>
    <mergeCell ref="U32:U33"/>
    <mergeCell ref="F33:H33"/>
    <mergeCell ref="I33:K33"/>
    <mergeCell ref="A34:A35"/>
    <mergeCell ref="B34:B35"/>
    <mergeCell ref="C34:C35"/>
    <mergeCell ref="D34:D35"/>
    <mergeCell ref="E34:E35"/>
    <mergeCell ref="F34:H34"/>
    <mergeCell ref="I34:K34"/>
    <mergeCell ref="R34:R35"/>
    <mergeCell ref="S34:S35"/>
    <mergeCell ref="T34:T35"/>
    <mergeCell ref="U34:U35"/>
    <mergeCell ref="F35:H35"/>
    <mergeCell ref="I35:K35"/>
    <mergeCell ref="T30:T31"/>
    <mergeCell ref="F31:H31"/>
    <mergeCell ref="I31:K31"/>
    <mergeCell ref="A32:A33"/>
    <mergeCell ref="B32:B33"/>
    <mergeCell ref="C32:C33"/>
    <mergeCell ref="D32:D33"/>
    <mergeCell ref="E32:E33"/>
    <mergeCell ref="F32:H32"/>
    <mergeCell ref="I32:K32"/>
    <mergeCell ref="R32:R33"/>
    <mergeCell ref="S32:S33"/>
    <mergeCell ref="T32:T33"/>
    <mergeCell ref="A30:A31"/>
    <mergeCell ref="B30:B31"/>
    <mergeCell ref="C30:C31"/>
    <mergeCell ref="A28:A29"/>
    <mergeCell ref="B28:B29"/>
    <mergeCell ref="C28:C29"/>
    <mergeCell ref="D28:D29"/>
    <mergeCell ref="E28:E29"/>
    <mergeCell ref="F28:H28"/>
    <mergeCell ref="I28:K28"/>
    <mergeCell ref="R28:R29"/>
    <mergeCell ref="S28:S29"/>
    <mergeCell ref="T28:T29"/>
    <mergeCell ref="U28:U29"/>
    <mergeCell ref="F29:H29"/>
    <mergeCell ref="I29:K29"/>
    <mergeCell ref="A26:A27"/>
    <mergeCell ref="B26:B27"/>
    <mergeCell ref="C26:C27"/>
    <mergeCell ref="D26:D27"/>
    <mergeCell ref="E26:E27"/>
    <mergeCell ref="F26:H26"/>
    <mergeCell ref="I26:K26"/>
    <mergeCell ref="R26:R27"/>
    <mergeCell ref="S26:S27"/>
    <mergeCell ref="A24:A25"/>
    <mergeCell ref="B24:B25"/>
    <mergeCell ref="C24:C25"/>
    <mergeCell ref="D24:D25"/>
    <mergeCell ref="E24:E25"/>
    <mergeCell ref="F24:H24"/>
    <mergeCell ref="I24:K24"/>
    <mergeCell ref="R24:R25"/>
    <mergeCell ref="S24:S25"/>
    <mergeCell ref="T24:T25"/>
    <mergeCell ref="U24:U25"/>
    <mergeCell ref="F25:H25"/>
    <mergeCell ref="I25:K25"/>
    <mergeCell ref="A22:A23"/>
    <mergeCell ref="B22:B23"/>
    <mergeCell ref="C22:C23"/>
    <mergeCell ref="D22:D23"/>
    <mergeCell ref="E22:E23"/>
    <mergeCell ref="F22:H22"/>
    <mergeCell ref="I22:K22"/>
    <mergeCell ref="R22:R23"/>
    <mergeCell ref="S22:S23"/>
    <mergeCell ref="C297:V297"/>
    <mergeCell ref="C305:W305"/>
    <mergeCell ref="W15:W19"/>
    <mergeCell ref="X15:X19"/>
    <mergeCell ref="L16:L19"/>
    <mergeCell ref="M16:M19"/>
    <mergeCell ref="N16:N19"/>
    <mergeCell ref="O16:O19"/>
    <mergeCell ref="P16:P19"/>
    <mergeCell ref="Q16:Q19"/>
    <mergeCell ref="L15:Q15"/>
    <mergeCell ref="R15:R19"/>
    <mergeCell ref="S15:S19"/>
    <mergeCell ref="T15:T19"/>
    <mergeCell ref="U15:U19"/>
    <mergeCell ref="V15:V19"/>
    <mergeCell ref="F20:H20"/>
    <mergeCell ref="I20:K20"/>
    <mergeCell ref="T22:T23"/>
    <mergeCell ref="U22:U23"/>
    <mergeCell ref="F23:H23"/>
    <mergeCell ref="I23:K23"/>
    <mergeCell ref="D30:D31"/>
    <mergeCell ref="E30:E31"/>
    <mergeCell ref="F30:H30"/>
    <mergeCell ref="I30:K30"/>
    <mergeCell ref="R30:R31"/>
    <mergeCell ref="S30:S31"/>
    <mergeCell ref="T26:T27"/>
    <mergeCell ref="U26:U27"/>
    <mergeCell ref="F27:H27"/>
    <mergeCell ref="I27:K27"/>
    <mergeCell ref="A1:X1"/>
    <mergeCell ref="A2:C2"/>
    <mergeCell ref="E6:R6"/>
    <mergeCell ref="E7:R7"/>
    <mergeCell ref="A9:B9"/>
    <mergeCell ref="P9:R9"/>
    <mergeCell ref="A4:V4"/>
    <mergeCell ref="I14:K14"/>
    <mergeCell ref="A15:A19"/>
    <mergeCell ref="B15:B19"/>
    <mergeCell ref="C15:C19"/>
    <mergeCell ref="D15:D19"/>
    <mergeCell ref="E15:E19"/>
    <mergeCell ref="F15:H19"/>
    <mergeCell ref="I15:K19"/>
    <mergeCell ref="E10:G10"/>
    <mergeCell ref="P10:R10"/>
    <mergeCell ref="D11:F11"/>
    <mergeCell ref="N11:P11"/>
    <mergeCell ref="A13:C13"/>
    <mergeCell ref="E13:I13"/>
    <mergeCell ref="J13:L13"/>
    <mergeCell ref="M13:P13"/>
    <mergeCell ref="Q13:S13"/>
  </mergeCells>
  <printOptions horizontalCentered="1"/>
  <pageMargins left="0" right="0" top="0.98425196850393704" bottom="0" header="0.31496062992125984" footer="0.31496062992125984"/>
  <pageSetup paperSize="9" scale="96" orientation="portrait" r:id="rId1"/>
  <rowBreaks count="1" manualBreakCount="1">
    <brk id="11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Bac  </vt:lpstr>
      <vt:lpstr>ԱՄՓՈՓ  </vt:lpstr>
      <vt:lpstr>1</vt:lpstr>
      <vt:lpstr>ծավալ</vt:lpstr>
      <vt:lpstr>ծավալ рус.</vt:lpstr>
      <vt:lpstr>'1'!Заголовки_для_печати</vt:lpstr>
      <vt:lpstr>'ԱՄՓՈՓ  '!Заголовки_для_печати</vt:lpstr>
      <vt:lpstr>ծավալ!Заголовки_для_печати</vt:lpstr>
      <vt:lpstr>'ծավալ рус.'!Заголовки_для_печати</vt:lpstr>
      <vt:lpstr>'1'!Область_печати</vt:lpstr>
      <vt:lpstr>'Bac  '!Область_печати</vt:lpstr>
      <vt:lpstr>'ԱՄՓՈՓ  '!Область_печати</vt:lpstr>
      <vt:lpstr>ծավալ!Область_печати</vt:lpstr>
      <vt:lpstr>'ծավալ рус.'!Область_печати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2024-12-16T07:48:11Z</dcterms:modified>
</cp:coreProperties>
</file>