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 activeTab="4"/>
  </bookViews>
  <sheets>
    <sheet name="Տվյալներ" sheetId="2" r:id="rId1"/>
    <sheet name="Բովանդակություն" sheetId="4" r:id="rId2"/>
    <sheet name="Բացատրագիր" sheetId="5" r:id="rId3"/>
    <sheet name="Ամփոփ նախահաշիվ" sheetId="3" r:id="rId4"/>
    <sheet name="Նախահաշիվ" sheetId="13" r:id="rId5"/>
    <sheet name="Ծավ նախ" sheetId="11" r:id="rId6"/>
  </sheets>
  <externalReferences>
    <externalReference r:id="rId7"/>
    <externalReference r:id="rId8"/>
  </externalReferences>
  <definedNames>
    <definedName name="Nerses">[1]NAX!#REF!</definedName>
    <definedName name="_xlnm.Print_Area" localSheetId="2">Բացատրագիր!$A$1:$J$37</definedName>
    <definedName name="_xlnm.Print_Area" localSheetId="1">Բովանդակություն!$A$1:$E$33</definedName>
    <definedName name="_xlnm.Print_Area" localSheetId="5">'Ծավ նախ'!$A$1:$G$88</definedName>
    <definedName name="_xlnm.Print_Area" localSheetId="4">Նախահաշիվ!$A$1:$R$97</definedName>
    <definedName name="գգգգ">[2]NAX!#REF!</definedName>
    <definedName name="ըւֆւ">[2]NAX!#REF!</definedName>
    <definedName name="օբյեկտային">[1]NAX!#REF!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74" i="11" l="1"/>
  <c r="F70" i="11"/>
  <c r="F66" i="11"/>
  <c r="F62" i="11"/>
  <c r="F58" i="11"/>
  <c r="E23" i="3"/>
  <c r="E25" i="3" s="1"/>
  <c r="F25" i="3" s="1"/>
  <c r="E24" i="3"/>
  <c r="F24" i="3"/>
  <c r="C27" i="3"/>
  <c r="D27" i="3"/>
  <c r="C14" i="3"/>
  <c r="F54" i="11"/>
  <c r="F17" i="11"/>
  <c r="F21" i="11"/>
  <c r="F25" i="11"/>
  <c r="F29" i="11"/>
  <c r="F33" i="11"/>
  <c r="F37" i="11"/>
  <c r="F41" i="11"/>
  <c r="F45" i="11"/>
  <c r="F49" i="11"/>
  <c r="F13" i="11"/>
  <c r="K28" i="11"/>
  <c r="L28" i="11" s="1"/>
  <c r="K27" i="11"/>
  <c r="L27" i="11" s="1"/>
  <c r="K26" i="11"/>
  <c r="L26" i="11" s="1"/>
  <c r="K25" i="11"/>
  <c r="L25" i="11" s="1"/>
  <c r="E25" i="11"/>
  <c r="D25" i="11"/>
  <c r="C25" i="11"/>
  <c r="B25" i="11"/>
  <c r="A25" i="11"/>
  <c r="E31" i="13"/>
  <c r="E27" i="13"/>
  <c r="E23" i="13"/>
  <c r="I31" i="13"/>
  <c r="G31" i="13"/>
  <c r="Q31" i="13"/>
  <c r="F23" i="3" l="1"/>
  <c r="M27" i="11"/>
  <c r="N27" i="11" s="1"/>
  <c r="M25" i="11"/>
  <c r="N25" i="11" s="1"/>
  <c r="G25" i="11" s="1"/>
  <c r="M26" i="11"/>
  <c r="N26" i="11" s="1"/>
  <c r="M28" i="11"/>
  <c r="N28" i="11" s="1"/>
  <c r="K77" i="11"/>
  <c r="K76" i="11"/>
  <c r="D74" i="11"/>
  <c r="C74" i="11"/>
  <c r="B74" i="11"/>
  <c r="A74" i="11"/>
  <c r="K72" i="11"/>
  <c r="E70" i="11"/>
  <c r="D70" i="11"/>
  <c r="C70" i="11"/>
  <c r="B70" i="11"/>
  <c r="A70" i="11"/>
  <c r="A58" i="11"/>
  <c r="B58" i="11"/>
  <c r="C58" i="11"/>
  <c r="D58" i="11"/>
  <c r="A62" i="11"/>
  <c r="B62" i="11"/>
  <c r="C62" i="11"/>
  <c r="D62" i="11"/>
  <c r="A66" i="11"/>
  <c r="B66" i="11"/>
  <c r="C66" i="11"/>
  <c r="D66" i="11"/>
  <c r="E66" i="11"/>
  <c r="D54" i="11"/>
  <c r="B54" i="11"/>
  <c r="C54" i="11"/>
  <c r="A54" i="11"/>
  <c r="K69" i="11"/>
  <c r="L69" i="11" s="1"/>
  <c r="K68" i="11"/>
  <c r="L68" i="11" s="1"/>
  <c r="K66" i="11"/>
  <c r="K65" i="11"/>
  <c r="L65" i="11" s="1"/>
  <c r="K64" i="11"/>
  <c r="L64" i="11" s="1"/>
  <c r="K61" i="11"/>
  <c r="K56" i="11"/>
  <c r="C53" i="11"/>
  <c r="E61" i="13"/>
  <c r="E54" i="11" s="1"/>
  <c r="E65" i="13"/>
  <c r="E58" i="11" s="1"/>
  <c r="E69" i="13"/>
  <c r="E62" i="11" s="1"/>
  <c r="E81" i="13"/>
  <c r="E74" i="11" s="1"/>
  <c r="K70" i="11" l="1"/>
  <c r="L70" i="11" s="1"/>
  <c r="M70" i="11" s="1"/>
  <c r="N70" i="11" s="1"/>
  <c r="L77" i="11"/>
  <c r="M77" i="11" s="1"/>
  <c r="N77" i="11" s="1"/>
  <c r="L76" i="11"/>
  <c r="M76" i="11" s="1"/>
  <c r="N76" i="11" s="1"/>
  <c r="L72" i="11"/>
  <c r="K73" i="11"/>
  <c r="L73" i="11" s="1"/>
  <c r="K74" i="11"/>
  <c r="L74" i="11" s="1"/>
  <c r="M65" i="11"/>
  <c r="N65" i="11" s="1"/>
  <c r="M64" i="11"/>
  <c r="N64" i="11" s="1"/>
  <c r="M69" i="11"/>
  <c r="N69" i="11" s="1"/>
  <c r="M68" i="11"/>
  <c r="N68" i="11" s="1"/>
  <c r="K54" i="11"/>
  <c r="L54" i="11" s="1"/>
  <c r="K60" i="11"/>
  <c r="L60" i="11" s="1"/>
  <c r="L56" i="11"/>
  <c r="K57" i="11"/>
  <c r="L57" i="11" s="1"/>
  <c r="K58" i="11"/>
  <c r="L58" i="11" s="1"/>
  <c r="K62" i="11"/>
  <c r="L62" i="11" s="1"/>
  <c r="L61" i="11"/>
  <c r="L66" i="11"/>
  <c r="O69" i="13"/>
  <c r="Q69" i="13" s="1"/>
  <c r="O66" i="13"/>
  <c r="O65" i="13"/>
  <c r="Q65" i="13" l="1"/>
  <c r="M74" i="11"/>
  <c r="N74" i="11" s="1"/>
  <c r="M73" i="11"/>
  <c r="N73" i="11" s="1"/>
  <c r="M72" i="11"/>
  <c r="N72" i="11" s="1"/>
  <c r="M54" i="11"/>
  <c r="N54" i="11" s="1"/>
  <c r="M62" i="11"/>
  <c r="N62" i="11" s="1"/>
  <c r="M61" i="11"/>
  <c r="N61" i="11" s="1"/>
  <c r="M58" i="11"/>
  <c r="N58" i="11" s="1"/>
  <c r="M66" i="11"/>
  <c r="N66" i="11"/>
  <c r="M57" i="11"/>
  <c r="N57" i="11" s="1"/>
  <c r="M56" i="11"/>
  <c r="N56" i="11" s="1"/>
  <c r="M60" i="11"/>
  <c r="N60" i="11" s="1"/>
  <c r="O83" i="13"/>
  <c r="O82" i="13"/>
  <c r="O81" i="13"/>
  <c r="O77" i="13"/>
  <c r="Q77" i="13" s="1"/>
  <c r="O73" i="13"/>
  <c r="Q73" i="13" s="1"/>
  <c r="O63" i="13"/>
  <c r="O62" i="13"/>
  <c r="Q61" i="13" s="1"/>
  <c r="Q81" i="13" l="1"/>
  <c r="E43" i="13"/>
  <c r="E37" i="11" l="1"/>
  <c r="K52" i="11"/>
  <c r="L52" i="11" s="1"/>
  <c r="K51" i="11"/>
  <c r="L51" i="11" s="1"/>
  <c r="K50" i="11"/>
  <c r="L50" i="11" s="1"/>
  <c r="E49" i="11"/>
  <c r="D49" i="11"/>
  <c r="C49" i="11"/>
  <c r="B49" i="11"/>
  <c r="A49" i="11"/>
  <c r="M52" i="11" l="1"/>
  <c r="N52" i="11" s="1"/>
  <c r="M50" i="11"/>
  <c r="N50" i="11" s="1"/>
  <c r="M51" i="11"/>
  <c r="N51" i="11" s="1"/>
  <c r="O55" i="13"/>
  <c r="Q55" i="13" s="1"/>
  <c r="K79" i="11" l="1"/>
  <c r="L79" i="11" s="1"/>
  <c r="K78" i="11"/>
  <c r="L78" i="11" s="1"/>
  <c r="A17" i="11"/>
  <c r="B17" i="11"/>
  <c r="C17" i="11"/>
  <c r="D17" i="11"/>
  <c r="A21" i="11"/>
  <c r="B21" i="11"/>
  <c r="C21" i="11"/>
  <c r="D21" i="11"/>
  <c r="A29" i="11"/>
  <c r="B29" i="11"/>
  <c r="C29" i="11"/>
  <c r="D29" i="11"/>
  <c r="A33" i="11"/>
  <c r="B33" i="11"/>
  <c r="C33" i="11"/>
  <c r="D33" i="11"/>
  <c r="A37" i="11"/>
  <c r="B37" i="11"/>
  <c r="C37" i="11"/>
  <c r="D37" i="11"/>
  <c r="A41" i="11"/>
  <c r="B41" i="11"/>
  <c r="C41" i="11"/>
  <c r="D41" i="11"/>
  <c r="A45" i="11"/>
  <c r="B45" i="11"/>
  <c r="C45" i="11"/>
  <c r="D45" i="11"/>
  <c r="E45" i="11"/>
  <c r="B13" i="11"/>
  <c r="C13" i="11"/>
  <c r="D13" i="11"/>
  <c r="A13" i="11"/>
  <c r="E12" i="11"/>
  <c r="D12" i="11"/>
  <c r="C12" i="11"/>
  <c r="M78" i="11" l="1"/>
  <c r="N78" i="11" s="1"/>
  <c r="M79" i="11"/>
  <c r="N79" i="11" s="1"/>
  <c r="O51" i="13" l="1"/>
  <c r="Q51" i="13" s="1"/>
  <c r="Q47" i="13"/>
  <c r="I47" i="13"/>
  <c r="E35" i="13"/>
  <c r="E29" i="11" s="1"/>
  <c r="E21" i="11"/>
  <c r="E17" i="11"/>
  <c r="E19" i="13"/>
  <c r="Q19" i="13"/>
  <c r="Q27" i="13"/>
  <c r="I27" i="13"/>
  <c r="G27" i="13"/>
  <c r="Q23" i="13"/>
  <c r="I23" i="13"/>
  <c r="G23" i="13"/>
  <c r="E13" i="11" l="1"/>
  <c r="M44" i="13"/>
  <c r="O44" i="13" s="1"/>
  <c r="O43" i="13"/>
  <c r="Q43" i="13" s="1"/>
  <c r="I43" i="13"/>
  <c r="G43" i="13"/>
  <c r="O39" i="13"/>
  <c r="Q39" i="13" s="1"/>
  <c r="E39" i="13"/>
  <c r="E33" i="11" s="1"/>
  <c r="Q35" i="13"/>
  <c r="G35" i="13"/>
  <c r="E47" i="13" l="1"/>
  <c r="E41" i="11" s="1"/>
  <c r="K12" i="11"/>
  <c r="L12" i="11" s="1"/>
  <c r="M12" i="11" s="1"/>
  <c r="N12" i="11" s="1"/>
  <c r="K14" i="11"/>
  <c r="L14" i="11" s="1"/>
  <c r="M14" i="11" s="1"/>
  <c r="N14" i="11" s="1"/>
  <c r="K15" i="11"/>
  <c r="L15" i="11" s="1"/>
  <c r="K16" i="11"/>
  <c r="L16" i="11" s="1"/>
  <c r="K18" i="11"/>
  <c r="L18" i="11" s="1"/>
  <c r="M18" i="11" s="1"/>
  <c r="N18" i="11" s="1"/>
  <c r="K19" i="11"/>
  <c r="L19" i="11" s="1"/>
  <c r="K20" i="11"/>
  <c r="L20" i="11" s="1"/>
  <c r="M20" i="11" s="1"/>
  <c r="K22" i="11"/>
  <c r="L22" i="11" s="1"/>
  <c r="M22" i="11" s="1"/>
  <c r="N22" i="11" s="1"/>
  <c r="K23" i="11"/>
  <c r="L23" i="11" s="1"/>
  <c r="K24" i="11"/>
  <c r="L24" i="11" s="1"/>
  <c r="K30" i="11"/>
  <c r="L30" i="11" s="1"/>
  <c r="M30" i="11" s="1"/>
  <c r="N30" i="11" s="1"/>
  <c r="K31" i="11"/>
  <c r="L31" i="11" s="1"/>
  <c r="K32" i="11"/>
  <c r="L32" i="11" s="1"/>
  <c r="K34" i="11"/>
  <c r="L34" i="11" s="1"/>
  <c r="M34" i="11" s="1"/>
  <c r="N34" i="11" s="1"/>
  <c r="K35" i="11"/>
  <c r="L35" i="11" s="1"/>
  <c r="K36" i="11"/>
  <c r="L36" i="11" s="1"/>
  <c r="M36" i="11" s="1"/>
  <c r="K38" i="11"/>
  <c r="L38" i="11" s="1"/>
  <c r="M38" i="11" s="1"/>
  <c r="N38" i="11" s="1"/>
  <c r="K39" i="11"/>
  <c r="L39" i="11" s="1"/>
  <c r="K40" i="11"/>
  <c r="L40" i="11" s="1"/>
  <c r="M40" i="11" s="1"/>
  <c r="N40" i="11" s="1"/>
  <c r="K42" i="11"/>
  <c r="L42" i="11" s="1"/>
  <c r="M42" i="11" s="1"/>
  <c r="N42" i="11" s="1"/>
  <c r="K43" i="11"/>
  <c r="L43" i="11" s="1"/>
  <c r="K44" i="11"/>
  <c r="L44" i="11" s="1"/>
  <c r="M44" i="11" s="1"/>
  <c r="K46" i="11"/>
  <c r="L46" i="11" s="1"/>
  <c r="M46" i="11" s="1"/>
  <c r="N46" i="11" s="1"/>
  <c r="K47" i="11"/>
  <c r="L47" i="11" s="1"/>
  <c r="K48" i="11"/>
  <c r="L48" i="11" s="1"/>
  <c r="M32" i="11" l="1"/>
  <c r="N32" i="11" s="1"/>
  <c r="N36" i="11"/>
  <c r="M48" i="11"/>
  <c r="N48" i="11" s="1"/>
  <c r="M16" i="11"/>
  <c r="N16" i="11" s="1"/>
  <c r="M24" i="11"/>
  <c r="N24" i="11" s="1"/>
  <c r="N44" i="11"/>
  <c r="N20" i="11"/>
  <c r="M39" i="11"/>
  <c r="N39" i="11" s="1"/>
  <c r="M47" i="11"/>
  <c r="N47" i="11" s="1"/>
  <c r="M43" i="11"/>
  <c r="N43" i="11" s="1"/>
  <c r="M23" i="11"/>
  <c r="N23" i="11" s="1"/>
  <c r="M35" i="11"/>
  <c r="N35" i="11" s="1"/>
  <c r="M15" i="11"/>
  <c r="N15" i="11" s="1"/>
  <c r="M31" i="11"/>
  <c r="N31" i="11" s="1"/>
  <c r="M19" i="11"/>
  <c r="N19" i="11" s="1"/>
  <c r="D4" i="13" l="1"/>
  <c r="P10" i="13" l="1"/>
  <c r="R14" i="13" s="1"/>
  <c r="P9" i="13"/>
  <c r="P8" i="13"/>
  <c r="D3" i="13"/>
  <c r="H31" i="13" l="1"/>
  <c r="F31" i="13" s="1"/>
  <c r="P31" i="13" s="1"/>
  <c r="J31" i="13"/>
  <c r="R31" i="13"/>
  <c r="H69" i="13"/>
  <c r="H65" i="13"/>
  <c r="J69" i="13"/>
  <c r="J65" i="13"/>
  <c r="R65" i="13"/>
  <c r="R69" i="13"/>
  <c r="H77" i="13"/>
  <c r="H61" i="13"/>
  <c r="H73" i="13"/>
  <c r="H81" i="13"/>
  <c r="J77" i="13"/>
  <c r="J81" i="13"/>
  <c r="J61" i="13"/>
  <c r="J73" i="13"/>
  <c r="R81" i="13"/>
  <c r="R61" i="13"/>
  <c r="R77" i="13"/>
  <c r="R73" i="13"/>
  <c r="H55" i="13"/>
  <c r="J55" i="13"/>
  <c r="R55" i="13"/>
  <c r="J19" i="13"/>
  <c r="J51" i="13"/>
  <c r="J47" i="13"/>
  <c r="H19" i="13"/>
  <c r="H51" i="13"/>
  <c r="H47" i="13"/>
  <c r="R19" i="13"/>
  <c r="R47" i="13"/>
  <c r="R51" i="13"/>
  <c r="J23" i="13"/>
  <c r="J27" i="13"/>
  <c r="H23" i="13"/>
  <c r="H27" i="13"/>
  <c r="R23" i="13"/>
  <c r="R27" i="13"/>
  <c r="J35" i="13"/>
  <c r="J43" i="13"/>
  <c r="J39" i="13"/>
  <c r="H39" i="13"/>
  <c r="H35" i="13"/>
  <c r="H43" i="13"/>
  <c r="R35" i="13"/>
  <c r="R39" i="13"/>
  <c r="R43" i="13"/>
  <c r="F77" i="13" l="1"/>
  <c r="F73" i="13"/>
  <c r="F65" i="13"/>
  <c r="F61" i="13"/>
  <c r="F69" i="13"/>
  <c r="F81" i="13"/>
  <c r="F55" i="13"/>
  <c r="P55" i="13" s="1"/>
  <c r="F19" i="13"/>
  <c r="F47" i="13"/>
  <c r="F51" i="13"/>
  <c r="F27" i="13"/>
  <c r="F23" i="13"/>
  <c r="F39" i="13"/>
  <c r="F43" i="13"/>
  <c r="F35" i="13"/>
  <c r="P81" i="13" l="1"/>
  <c r="K75" i="11"/>
  <c r="L75" i="11" s="1"/>
  <c r="M75" i="11" s="1"/>
  <c r="N75" i="11" s="1"/>
  <c r="G74" i="11" s="1"/>
  <c r="P65" i="13"/>
  <c r="K59" i="11"/>
  <c r="L59" i="11" s="1"/>
  <c r="M59" i="11" s="1"/>
  <c r="N59" i="11" s="1"/>
  <c r="G58" i="11" s="1"/>
  <c r="P73" i="13"/>
  <c r="K67" i="11"/>
  <c r="L67" i="11" s="1"/>
  <c r="M67" i="11" s="1"/>
  <c r="N67" i="11" s="1"/>
  <c r="G66" i="11" s="1"/>
  <c r="P69" i="13"/>
  <c r="K63" i="11"/>
  <c r="L63" i="11" s="1"/>
  <c r="M63" i="11" s="1"/>
  <c r="N63" i="11" s="1"/>
  <c r="G62" i="11" s="1"/>
  <c r="P61" i="13"/>
  <c r="K55" i="11"/>
  <c r="L55" i="11" s="1"/>
  <c r="M55" i="11" s="1"/>
  <c r="N55" i="11" s="1"/>
  <c r="G54" i="11" s="1"/>
  <c r="P77" i="13"/>
  <c r="K49" i="11"/>
  <c r="L49" i="11" s="1"/>
  <c r="M49" i="11" s="1"/>
  <c r="N49" i="11" s="1"/>
  <c r="G49" i="11" s="1"/>
  <c r="P27" i="13"/>
  <c r="P47" i="13"/>
  <c r="P19" i="13"/>
  <c r="K13" i="11"/>
  <c r="L13" i="11" s="1"/>
  <c r="M13" i="11" s="1"/>
  <c r="N13" i="11" s="1"/>
  <c r="P35" i="13"/>
  <c r="K29" i="11"/>
  <c r="L29" i="11" s="1"/>
  <c r="M29" i="11" s="1"/>
  <c r="N29" i="11" s="1"/>
  <c r="P23" i="13"/>
  <c r="K17" i="11"/>
  <c r="L17" i="11" s="1"/>
  <c r="M17" i="11" s="1"/>
  <c r="N17" i="11" s="1"/>
  <c r="P51" i="13"/>
  <c r="P43" i="13"/>
  <c r="P39" i="13"/>
  <c r="K33" i="11"/>
  <c r="L33" i="11" s="1"/>
  <c r="M33" i="11" s="1"/>
  <c r="N33" i="11" s="1"/>
  <c r="K45" i="11"/>
  <c r="L45" i="11" s="1"/>
  <c r="M45" i="11" s="1"/>
  <c r="N45" i="11" s="1"/>
  <c r="K41" i="11"/>
  <c r="L41" i="11" s="1"/>
  <c r="M41" i="11" s="1"/>
  <c r="N41" i="11" s="1"/>
  <c r="K21" i="11"/>
  <c r="L21" i="11" s="1"/>
  <c r="M21" i="11" s="1"/>
  <c r="N21" i="11" s="1"/>
  <c r="K37" i="11"/>
  <c r="L37" i="11" s="1"/>
  <c r="M37" i="11" s="1"/>
  <c r="N37" i="11" s="1"/>
  <c r="G33" i="11" l="1"/>
  <c r="K71" i="11"/>
  <c r="L71" i="11" s="1"/>
  <c r="M71" i="11" s="1"/>
  <c r="N71" i="11" s="1"/>
  <c r="G70" i="11" s="1"/>
  <c r="P86" i="13"/>
  <c r="P87" i="13" s="1"/>
  <c r="P88" i="13" s="1"/>
  <c r="P89" i="13" s="1"/>
  <c r="P90" i="13" s="1"/>
  <c r="G41" i="11"/>
  <c r="G17" i="11"/>
  <c r="G45" i="11"/>
  <c r="G37" i="11"/>
  <c r="G21" i="11"/>
  <c r="G29" i="11"/>
  <c r="A3" i="11"/>
  <c r="C11" i="3" l="1"/>
  <c r="H10" i="13"/>
  <c r="B19" i="5"/>
  <c r="G17" i="5" l="1"/>
  <c r="G16" i="5"/>
  <c r="F14" i="5"/>
  <c r="D21" i="5" s="1"/>
  <c r="B4" i="3" l="1"/>
  <c r="B3" i="3"/>
  <c r="D15" i="3"/>
  <c r="D21" i="3" s="1"/>
  <c r="D26" i="3" s="1"/>
  <c r="D28" i="3" s="1"/>
  <c r="D29" i="3" l="1"/>
  <c r="D30" i="3" s="1"/>
  <c r="G13" i="11" l="1"/>
  <c r="G78" i="11" l="1"/>
  <c r="G81" i="11" s="1"/>
  <c r="F11" i="3"/>
  <c r="G79" i="11" l="1"/>
  <c r="C12" i="3"/>
  <c r="F12" i="3" s="1"/>
  <c r="G82" i="11" l="1"/>
  <c r="G83" i="11" s="1"/>
  <c r="C13" i="3"/>
  <c r="F13" i="3" l="1"/>
  <c r="F14" i="3"/>
  <c r="F31" i="3" s="1"/>
  <c r="F31" i="5" s="1"/>
  <c r="C15" i="3" l="1"/>
  <c r="C17" i="3" l="1"/>
  <c r="E19" i="3"/>
  <c r="F19" i="3" s="1"/>
  <c r="E20" i="3"/>
  <c r="F20" i="3" s="1"/>
  <c r="C18" i="3"/>
  <c r="F15" i="3"/>
  <c r="E21" i="3" l="1"/>
  <c r="F17" i="3"/>
  <c r="C21" i="3"/>
  <c r="F18" i="3"/>
  <c r="F30" i="5" l="1"/>
  <c r="F21" i="3"/>
  <c r="C26" i="3"/>
  <c r="F29" i="5" l="1"/>
  <c r="C28" i="3"/>
  <c r="C29" i="3" s="1"/>
  <c r="C30" i="3" s="1"/>
  <c r="F28" i="5" s="1"/>
  <c r="E26" i="3" l="1"/>
  <c r="E27" i="3" s="1"/>
  <c r="F27" i="3" s="1"/>
  <c r="F26" i="3" l="1"/>
  <c r="E28" i="3" l="1"/>
  <c r="F28" i="3" l="1"/>
  <c r="E29" i="3"/>
  <c r="F29" i="3" s="1"/>
  <c r="E30" i="3" l="1"/>
  <c r="F30" i="3" s="1"/>
  <c r="E7" i="3" s="1"/>
  <c r="G26" i="5" s="1"/>
</calcChain>
</file>

<file path=xl/sharedStrings.xml><?xml version="1.0" encoding="utf-8"?>
<sst xmlns="http://schemas.openxmlformats.org/spreadsheetml/2006/main" count="230" uniqueCount="179">
  <si>
    <t>NN</t>
  </si>
  <si>
    <t>x1.02x1.05x</t>
  </si>
  <si>
    <t>ՏԵՂԵԿԱԳՐԻ Հ/Հ</t>
  </si>
  <si>
    <t>ՄԻՋԻՆ ԱՇԽԱՏԱՎԱՐՁ</t>
  </si>
  <si>
    <t>ՏՐԱՆՍՊՈՐՏԱՅԻՆ ԾԱԽՍԵՐԻ ԳՈՐԾԱԿԻՑ</t>
  </si>
  <si>
    <t>ԱՇԽԱՏԱՎԱՐՁԻ ԳՈՐԾԱԿԻՑ</t>
  </si>
  <si>
    <t>ՄԵՔԵՆԱ-ՄԵԽԱՆԻԶՄՆԵՐԻ ԳՈՐԾԱԿԻՑ</t>
  </si>
  <si>
    <t>Աշխատավարձին</t>
  </si>
  <si>
    <t>Տրանսպորտային ծախսերի գործակիցը</t>
  </si>
  <si>
    <t>Մեք. և սարք. շահագործմանը</t>
  </si>
  <si>
    <t>Շինարարական աշխատանքների արժեքը -</t>
  </si>
  <si>
    <t>հազ.դր.</t>
  </si>
  <si>
    <t>կգ</t>
  </si>
  <si>
    <t>Նախահաշվի և հաշվարկի համարը</t>
  </si>
  <si>
    <t>Անվանումը</t>
  </si>
  <si>
    <t>Շին. Մոնտաժային աշխատանքներ (հազար դրամ)</t>
  </si>
  <si>
    <t>Սարքավորումներ (հազար դրամ)</t>
  </si>
  <si>
    <t>Այլ ծախսեր           (հազար դրամ)</t>
  </si>
  <si>
    <t>Ընդամենը            (հազար դրամ)</t>
  </si>
  <si>
    <t>Գլուխ N2 Շինարարության հիմնական օբեկտներ</t>
  </si>
  <si>
    <t>Տեղային նախահաշիվ</t>
  </si>
  <si>
    <t>Ընդամենը</t>
  </si>
  <si>
    <t>Ընդամենը 2--7 գլուխներով</t>
  </si>
  <si>
    <t>Գլուխ N8 Ժամանակավոր շենքեր և կառույցներ</t>
  </si>
  <si>
    <t>Ընդամենը 2--8 գլուխներով</t>
  </si>
  <si>
    <t>Գլուխ N9 Այլ ծախսեր</t>
  </si>
  <si>
    <t>Ձմեռային թանկացումներ</t>
  </si>
  <si>
    <t>Առաջացած աղբի տեղափոխում 0.15%</t>
  </si>
  <si>
    <t>Ընդամենը 2--9 գլուխներով</t>
  </si>
  <si>
    <t>Գլուխ N10 Տնօրենություն</t>
  </si>
  <si>
    <t>Տեխնիկական հսկողություն</t>
  </si>
  <si>
    <t>Հեղինակային հսկողություն</t>
  </si>
  <si>
    <t>Ընդամենը 2--10 գլուխներով</t>
  </si>
  <si>
    <t>Չնախատեսված ծախսեր 3%</t>
  </si>
  <si>
    <t>ԱԱՀ 20%</t>
  </si>
  <si>
    <t>Այդ թվում վերադարձի գումարը</t>
  </si>
  <si>
    <t>Նախ.</t>
  </si>
  <si>
    <t>Պայնագիր N</t>
  </si>
  <si>
    <t>ԱՄՓՈՓ ՆԱԽԱՇԻՎ</t>
  </si>
  <si>
    <t>հազար դրամ</t>
  </si>
  <si>
    <t>ՊԱՅՄԱՆԱԳՐԻ ՀԱՄԱՐԸ</t>
  </si>
  <si>
    <t>ՆԱԽԱԳԾԻ ԱՆՎԱՆՈՒՄԸ</t>
  </si>
  <si>
    <t>ՏՎՅԱԼՆԵՐ</t>
  </si>
  <si>
    <t>Վերադիր ծախսեր 13.3%</t>
  </si>
  <si>
    <t>Շահույթ 11.0%</t>
  </si>
  <si>
    <t>Ինդեքսավորումը՝</t>
  </si>
  <si>
    <t>ՊԱՏՎԻՐԱՏՈՒ</t>
  </si>
  <si>
    <t xml:space="preserve">Ընդամենը </t>
  </si>
  <si>
    <t>Կազմեց՝------------------------------------------------------------------------------------------------ Գ. Մեսրոպյան</t>
  </si>
  <si>
    <t>ԲՈՎԱՆԴԱԿՈՒԹՅՈՒՆ</t>
  </si>
  <si>
    <t>Բացատրագիր</t>
  </si>
  <si>
    <t>Ամփոփ նախահաշիվ</t>
  </si>
  <si>
    <t>Ծավալաթերթ նախահաշիվ</t>
  </si>
  <si>
    <t>ԲԱՑԱՏՐԱԳԻՐ</t>
  </si>
  <si>
    <t>Նախահաշիվը կազմված է ՀՀ քաղաքաշինության  նախարարության հրամանով</t>
  </si>
  <si>
    <t xml:space="preserve"> հաստատված  «գործող գներով  շինարարական աշխատանքների</t>
  </si>
  <si>
    <t xml:space="preserve"> գնահատման կարգի» համաձայն։</t>
  </si>
  <si>
    <t>Նախահաշիվները կազմված են նախագծային ծավալներին համապատասխան՝</t>
  </si>
  <si>
    <t xml:space="preserve"> ըստ ծավալաթերթի։</t>
  </si>
  <si>
    <t>Կոնստրուկտիվ էլեմենտների նյութածախսերը վերցված են 1984թ-ի նորմերով։</t>
  </si>
  <si>
    <t>Հիմնական աշխատավարձը և մեքենաների շահագործումը գնահատված են</t>
  </si>
  <si>
    <t xml:space="preserve"> 1984թ-ի գներով և վերահաշվարկված են</t>
  </si>
  <si>
    <t>տեղեկագրով՝</t>
  </si>
  <si>
    <t>ռուբլուց դրամ անցման հետևյալ գործակիցներով /ինդեքսներով/՝</t>
  </si>
  <si>
    <t>աշխատավարձի համար                                        -----------</t>
  </si>
  <si>
    <t>մեքենաների շահագործման համար               ----------</t>
  </si>
  <si>
    <t>Ռուբլուց դրամի անցման գործակիցը հաշվարկված է աշխատողների ամսական</t>
  </si>
  <si>
    <t>հազար դրամ  միջին  աշխատավարձի չափով։</t>
  </si>
  <si>
    <t>Նյութերի արժեքները վերցված են ֆինանսների նախարարության կողմից</t>
  </si>
  <si>
    <t xml:space="preserve"> հրատարակված</t>
  </si>
  <si>
    <t>տեղեկագրից և տվյալ ամսվա  շուկայական</t>
  </si>
  <si>
    <t xml:space="preserve"> արժեքներից՝ դրան ավելացված</t>
  </si>
  <si>
    <t>այլ նյութեր</t>
  </si>
  <si>
    <t>%</t>
  </si>
  <si>
    <t>տրանսպորտային ծախսեր</t>
  </si>
  <si>
    <t>պահեստավորման ծախսեր</t>
  </si>
  <si>
    <t>Ընդհանուր նախահաշվային արժեքը կազմում է</t>
  </si>
  <si>
    <t xml:space="preserve">հազար դրամ,
</t>
  </si>
  <si>
    <t>որի մեջ ներառված են՝</t>
  </si>
  <si>
    <t>Շին. մոնտաժային աշխատանքները</t>
  </si>
  <si>
    <t>հազ. դրամ</t>
  </si>
  <si>
    <t>Տեխնիկական հսկողությունը</t>
  </si>
  <si>
    <t>Հեղինակային հսկողությունը</t>
  </si>
  <si>
    <t>Վերադարձի գումարը կազմում է</t>
  </si>
  <si>
    <t>Ապամոնտաժված պիտանի նյութերը պահեստավորվում են և տնօրինվում են</t>
  </si>
  <si>
    <t xml:space="preserve"> պատվիրատուի հայեցողությամբ։</t>
  </si>
  <si>
    <t>Կազմեց՝ .............................................. Գ Մեսրոպյան</t>
  </si>
  <si>
    <t>ԾԱՎԱԼԱԹԵՐԹ ՆԱԽԱՀԱՇԻՎ</t>
  </si>
  <si>
    <t>Ընդամենը / Итого</t>
  </si>
  <si>
    <t>ԱԱՀ 20% / 20% НДС</t>
  </si>
  <si>
    <t>ԱՇԽԱՏԱՆՔՆԵՐԻ ԱՆՎԱՆՈՒՄԸ НАИМЕНОВАНИЕ РАБОТ</t>
  </si>
  <si>
    <t>ՉԱՓՄԱՆ ՄԻԱՎՈՐԸ        ЕДИНИЦА ИЗМЕРЕНИЯ</t>
  </si>
  <si>
    <t>ԾԱՎԱԼԸ                    ОБЬЕМ</t>
  </si>
  <si>
    <t>1 ՄԻԱՎՈՐԻ ԱՐԺԵՔԸ /հազ. Դրամ/        СТОИМОСТЬ 1 ЕДИНИЦЫ                               /тыс. AMD/</t>
  </si>
  <si>
    <t>ԸՆԴՀԱՆՈՒՐ ԱՐԺԵՔԸ ОБЩАЯ СТОИМОСТЬ</t>
  </si>
  <si>
    <t>ՀԻՄՆԱՎՈՐՈՒՄ ОБОСНОВАНИЕ</t>
  </si>
  <si>
    <t xml:space="preserve">     ԱՅԴ ԹՎՈՒՄ В ТОМ ЧИСЛЕ</t>
  </si>
  <si>
    <t>ՆՅՈՒԹԵՐԻ ԱՐԺԵՔԸ         СТОИМОСТЬ МАТЕРИАЛОВ</t>
  </si>
  <si>
    <t>ՆՅՈՒԹԵՐԻ ԱՐԺԵՔԸ СТОИМОСТЬ МАТЕРИАЛОВ</t>
  </si>
  <si>
    <t>ԱՇԽԱՏԱՎԱՐՁ ЗАРПЛАТА</t>
  </si>
  <si>
    <t xml:space="preserve">ՄԵՔԵՆԱ-ՄԵԽԱՆԻԶՄԻ ՇԱՀԱԳՈՐԾՈՒՄ 
РАБОТА МАШИНЫ-МЕХАНИЗМА </t>
  </si>
  <si>
    <t>ՆՅՈՒԹԵՐԻ ԾԱԽՍԸ ԵՎ ԱՐԺԵՔԸ 1 ՄԻԱՎՈՐԻ ՀԱՄԱՐ                                                                     РАСХОД МАТЕРИАЛА И СТОИМОСТЬ 1 ЕДИНИЦЫ</t>
  </si>
  <si>
    <t>ԸՍՏ ՆՈՐՄԵՐԻ    ПО НОРМАМ</t>
  </si>
  <si>
    <t>ԳՈՐԾՈՂ ԳՆԵՐՈՎ ПО ТЕКУЩИМ ЦЕНАМ</t>
  </si>
  <si>
    <t>ԸՍՏ ՆՈՐՄԵՐԻ   ПО НОРМАМ</t>
  </si>
  <si>
    <t>ԳՈՐԾՈՂ ԳՆԵՐՈՎ  ПО ТЕКУЩИМ ЦЕНАМ</t>
  </si>
  <si>
    <t>ԱՆՎԱՆՈՒՄԸ НАЗВАНИЕ</t>
  </si>
  <si>
    <t>ՉԱՓՄԱՆ ՄԻԱՎՈՐԸ ЕДИНИЦА ИЗМЕРЕНИЯ</t>
  </si>
  <si>
    <t>ՔԱՆԱԿԸ КОЛИЧЕСТВО</t>
  </si>
  <si>
    <t>ԱՐԺԵՔԸ СТОИМОСТЬ</t>
  </si>
  <si>
    <t xml:space="preserve">ԸՆԴՀԱՆՈՒՐ ԱՐԺԵՔԸ ОБЩАЯ СТОИМОСТЬ       </t>
  </si>
  <si>
    <t>ՀԱԶ. ԴՐԱՄ    /тысяча AMD/</t>
  </si>
  <si>
    <t>ՀԱԶ. ԴՐԱՄ       /тысяча AMD/</t>
  </si>
  <si>
    <t>մ3/м3</t>
  </si>
  <si>
    <t xml:space="preserve">գմ/пм </t>
  </si>
  <si>
    <t>Տոկոսը ընդհանուրի համար</t>
  </si>
  <si>
    <t>Կազմեց՝------------------------------------------------------------ Գ. Մեսրոպյան</t>
  </si>
  <si>
    <t>գմ</t>
  </si>
  <si>
    <t>ԵՂԵԳԻՍԻ ՀԱՄԱՅՆՔԱՊԵՏԱՐԱՆ</t>
  </si>
  <si>
    <t>մ2/м2</t>
  </si>
  <si>
    <t>լուծիչ</t>
  </si>
  <si>
    <t xml:space="preserve">E13-103      E13-104 </t>
  </si>
  <si>
    <t>բիտում</t>
  </si>
  <si>
    <t>2024թ. N04</t>
  </si>
  <si>
    <t>1--967</t>
  </si>
  <si>
    <t>3*0,5%</t>
  </si>
  <si>
    <t xml:space="preserve">Խողովակի արտաքին մակերեսների հակակոռոզիոն մեկուսացում բիտումային մածիկով          Антикоррозийная изоляция наружных поверхностей трубы битумной пастой                                         </t>
  </si>
  <si>
    <t>E1-57</t>
  </si>
  <si>
    <t xml:space="preserve">Բնահողի մշակումը 3-րդ կարգի գրունտներում էքսկավատորով, կողլիցք Обработка грунтах 3 класса экскаватором                                                          </t>
  </si>
  <si>
    <t xml:space="preserve">մ3/м3 </t>
  </si>
  <si>
    <t>E37-707</t>
  </si>
  <si>
    <t>Բետոն B15, F150, W4</t>
  </si>
  <si>
    <t>E1--58</t>
  </si>
  <si>
    <t>Բնահողի մշակումը  4 կարգի գրունտներում Обработка почвы на почвах 4 класса</t>
  </si>
  <si>
    <t>E1--59</t>
  </si>
  <si>
    <t>Բնահողի մշակումը  5 կարգի գրունտներում Обработка почвы на почвах 5 класса</t>
  </si>
  <si>
    <t>E1-258</t>
  </si>
  <si>
    <t>Բնահողի ետլիցք բուլդոզերով Обратная засыпка грунта бульдозером</t>
  </si>
  <si>
    <t>շուկա</t>
  </si>
  <si>
    <t>Մետաղական ցանցի ձեռքբերում և տեղադրում խողովակաշարի սկզբնամասում Строительство и монтаж металлической сетки  в начале трубопровода.</t>
  </si>
  <si>
    <t>հատ/шт</t>
  </si>
  <si>
    <t>ցանց</t>
  </si>
  <si>
    <t xml:space="preserve">ՎՁՄ ԵՀ ԳՀԾՁԲ 2024/09    </t>
  </si>
  <si>
    <t>ՔԱՐԱԳԼՈՒԽ ԲՆԱԿԱՎԱՅՐԻ ԽՄԵԼՈՒ ՋՐԱԳԾԻ ԿԱՌՈՒՑՈՒՄ</t>
  </si>
  <si>
    <t xml:space="preserve">Ջրհավաքի միացման տեղի ծակում և բետոնացում B15, F150, W4 դասի բետոնով    Перфорация и бетонирование места подключения водосборника бетоном марок В15, Ф150, В4                                          </t>
  </si>
  <si>
    <t>E22-67</t>
  </si>
  <si>
    <t xml:space="preserve">Խողովակաշարերի տեղադրում պողպատե կիսախողովակներից 127*4.0մմ տրամագծով Монтаж трубопроводов из стальных полутруб диаметр 127*4,0мм                                                       </t>
  </si>
  <si>
    <t>Տեղի փափուկ բնահողից նախապատրաստական շերտի փռում խողովակների տակ 
Почвенная смесь закладывается из гравия под водопропускные трубы подготовительного слоя.</t>
  </si>
  <si>
    <t>Պողպատե խողովակ Ф127*4.0</t>
  </si>
  <si>
    <t>Փոքր ծավալի ՇՄԱ 2%</t>
  </si>
  <si>
    <t>9--121</t>
  </si>
  <si>
    <t>Մետաղական ցանկապատի կառուցում և տեղադրում կլոր խողովակներից H=1,5մ բարձրությամբ ռաբիցա ցանցով / ներառյալ դռնակը/</t>
  </si>
  <si>
    <t>Մետ. կոնստր.</t>
  </si>
  <si>
    <t>Էլեկտրոդ</t>
  </si>
  <si>
    <t>ինֆ տեղ</t>
  </si>
  <si>
    <t>մ2</t>
  </si>
  <si>
    <t>Յուղաներկ</t>
  </si>
  <si>
    <t>Օլիֆ</t>
  </si>
  <si>
    <t>Տրորված ներկ</t>
  </si>
  <si>
    <t>15--614</t>
  </si>
  <si>
    <t>E27-22-1</t>
  </si>
  <si>
    <t>Խճային նախաշերտի իրականացում 10սմ հաստության Выполнение гравийного слой толщиной 10 см</t>
  </si>
  <si>
    <t>ջուր</t>
  </si>
  <si>
    <t>մ3</t>
  </si>
  <si>
    <t>խիճ</t>
  </si>
  <si>
    <t>6--20</t>
  </si>
  <si>
    <t>Բետոն</t>
  </si>
  <si>
    <t xml:space="preserve">Բետոնե կետային հիմքերի կառուցում B15 դասի բետոնից 0,2*0,2*0.8  Строительство бетонной фундамент из бетона класса В15                                   </t>
  </si>
  <si>
    <t>ՄԵՏԱՂԱԿԱՆ ՑԱՆԿԱՊԱՏ</t>
  </si>
  <si>
    <t>տ/Т</t>
  </si>
  <si>
    <t>հատ/ШТ</t>
  </si>
  <si>
    <t>խողովակ</t>
  </si>
  <si>
    <t>խողովակ Ф51*2մմ - 1հատ 1,5/2,0գմ /1գմ=2,42կգ/        туба Ф51*2мм - 1шт 1,5/2,0гр /1гр=2,42кг/</t>
  </si>
  <si>
    <t>Պողպատե, հյուսված, "Ռաբիցա", d=1,5-1,8մմ, բջիջը 50x50մմ, 70x70մմ, 1500x10000մմ       Сталь тканая, "Рабица", d=1,5-1,8мм, ячейка 50х50мм, 70х70мм, 1500х10000мм.</t>
  </si>
  <si>
    <t>Մետաղական խողովակների երկտակ յուղաներկում /1գմ=0,16մ2/ 
Двойная покраска масленная металлических труб /1гр=0,16м2/</t>
  </si>
  <si>
    <t>ՄԵՏԱՂԵ ԽՈՂՈՎԱԿ Ф127*4մմ</t>
  </si>
  <si>
    <t>Բնահողի մշակումը  6 կարգի գրունտներում Обработка почвы на почвах 5 класса</t>
  </si>
  <si>
    <t>E1--60</t>
  </si>
  <si>
    <t>1.1*0.5=0.55%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</si>
</sst>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"/>
    <numFmt numFmtId="166" formatCode="#,##0.000"/>
    <numFmt numFmtId="167" formatCode="0.0000"/>
  </numFmts>
  <fonts count="32" x14ac:knownFonts="1">
    <font>
      <sz val="11"/>
      <color theme="1"/>
      <name val="Calibri"/>
      <family val="2"/>
      <charset val="204"/>
      <scheme val="minor"/>
    </font>
    <font>
      <sz val="10"/>
      <color theme="1"/>
      <name val="Arial Unicode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 Unicode"/>
      <family val="2"/>
      <charset val="204"/>
    </font>
    <font>
      <sz val="10"/>
      <name val="Arial Armenian"/>
      <family val="2"/>
    </font>
    <font>
      <sz val="10"/>
      <name val="Arial"/>
      <family val="2"/>
      <charset val="204"/>
    </font>
    <font>
      <sz val="10"/>
      <name val="Arial"/>
      <family val="2"/>
    </font>
    <font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name val="Arial Unicode"/>
      <family val="2"/>
      <charset val="204"/>
    </font>
    <font>
      <b/>
      <i/>
      <sz val="11"/>
      <name val="Arial Unicode"/>
      <family val="2"/>
      <charset val="204"/>
    </font>
    <font>
      <b/>
      <u/>
      <sz val="12"/>
      <name val="Arial Unicode"/>
      <family val="2"/>
      <charset val="204"/>
    </font>
    <font>
      <b/>
      <sz val="10"/>
      <name val="Arial Unicode"/>
      <family val="2"/>
      <charset val="204"/>
    </font>
    <font>
      <i/>
      <sz val="10"/>
      <name val="Arial Unicode"/>
      <family val="2"/>
      <charset val="204"/>
    </font>
    <font>
      <b/>
      <i/>
      <u/>
      <sz val="10"/>
      <name val="Arial Unicode"/>
      <family val="2"/>
      <charset val="204"/>
    </font>
    <font>
      <b/>
      <i/>
      <sz val="10"/>
      <name val="Arial Unicode"/>
      <family val="2"/>
      <charset val="204"/>
    </font>
    <font>
      <sz val="12"/>
      <name val="Arial Unicode"/>
      <family val="2"/>
      <charset val="204"/>
    </font>
    <font>
      <sz val="8"/>
      <name val="Arial Unicode"/>
      <family val="2"/>
      <charset val="204"/>
    </font>
    <font>
      <sz val="9"/>
      <name val="Arial Unicode"/>
      <family val="2"/>
      <charset val="204"/>
    </font>
    <font>
      <sz val="14"/>
      <name val="Arial Unicode"/>
      <family val="2"/>
      <charset val="204"/>
    </font>
    <font>
      <sz val="9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Armenian"/>
      <family val="2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9"/>
      <name val="Calibri"/>
      <family val="2"/>
      <charset val="204"/>
      <scheme val="minor"/>
    </font>
    <font>
      <sz val="8"/>
      <name val="Arial Armenian"/>
      <family val="2"/>
    </font>
    <font>
      <sz val="10"/>
      <name val="Arial Armenian"/>
      <family val="2"/>
      <charset val="204"/>
    </font>
    <font>
      <sz val="10"/>
      <name val="Arial LatArm"/>
      <family val="2"/>
      <charset val="204"/>
    </font>
    <font>
      <sz val="9"/>
      <name val="Arial Armenian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6" fillId="0" borderId="0"/>
    <xf numFmtId="0" fontId="5" fillId="0" borderId="0"/>
    <xf numFmtId="0" fontId="23" fillId="0" borderId="0"/>
    <xf numFmtId="0" fontId="24" fillId="0" borderId="0"/>
  </cellStyleXfs>
  <cellXfs count="174">
    <xf numFmtId="0" fontId="0" fillId="0" borderId="0" xfId="0"/>
    <xf numFmtId="0" fontId="1" fillId="0" borderId="0" xfId="0" applyFont="1"/>
    <xf numFmtId="3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/>
    </xf>
    <xf numFmtId="0" fontId="2" fillId="0" borderId="0" xfId="0" applyFont="1"/>
    <xf numFmtId="3" fontId="0" fillId="0" borderId="0" xfId="0" applyNumberFormat="1" applyAlignment="1">
      <alignment horizontal="center"/>
    </xf>
    <xf numFmtId="2" fontId="2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66" fontId="21" fillId="0" borderId="1" xfId="0" applyNumberFormat="1" applyFont="1" applyBorder="1" applyAlignment="1">
      <alignment horizontal="center" vertical="center"/>
    </xf>
    <xf numFmtId="166" fontId="22" fillId="0" borderId="1" xfId="0" applyNumberFormat="1" applyFont="1" applyBorder="1" applyAlignment="1">
      <alignment horizontal="center" vertical="center"/>
    </xf>
    <xf numFmtId="0" fontId="20" fillId="0" borderId="1" xfId="0" applyFont="1" applyBorder="1"/>
    <xf numFmtId="0" fontId="3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5" fillId="0" borderId="0" xfId="0" applyFont="1" applyAlignment="1">
      <alignment horizontal="right"/>
    </xf>
    <xf numFmtId="0" fontId="21" fillId="0" borderId="0" xfId="0" applyFont="1"/>
    <xf numFmtId="0" fontId="25" fillId="0" borderId="0" xfId="0" applyFont="1" applyAlignment="1">
      <alignment horizontal="right" vertical="center"/>
    </xf>
    <xf numFmtId="164" fontId="26" fillId="0" borderId="0" xfId="0" applyNumberFormat="1" applyFont="1" applyAlignment="1">
      <alignment horizontal="right" vertical="center"/>
    </xf>
    <xf numFmtId="0" fontId="20" fillId="0" borderId="0" xfId="0" applyFont="1" applyAlignment="1">
      <alignment horizontal="left"/>
    </xf>
    <xf numFmtId="0" fontId="21" fillId="0" borderId="1" xfId="0" applyFont="1" applyBorder="1"/>
    <xf numFmtId="0" fontId="27" fillId="0" borderId="1" xfId="0" applyFont="1" applyBorder="1"/>
    <xf numFmtId="0" fontId="20" fillId="0" borderId="1" xfId="0" applyFont="1" applyBorder="1" applyAlignment="1">
      <alignment horizontal="center" vertical="center"/>
    </xf>
    <xf numFmtId="166" fontId="28" fillId="0" borderId="1" xfId="0" applyNumberFormat="1" applyFont="1" applyBorder="1" applyAlignment="1" applyProtection="1">
      <alignment horizontal="center"/>
      <protection locked="0"/>
    </xf>
    <xf numFmtId="164" fontId="21" fillId="0" borderId="0" xfId="0" applyNumberFormat="1" applyFont="1"/>
    <xf numFmtId="10" fontId="20" fillId="0" borderId="1" xfId="0" applyNumberFormat="1" applyFont="1" applyBorder="1" applyAlignment="1">
      <alignment horizontal="center"/>
    </xf>
    <xf numFmtId="166" fontId="21" fillId="0" borderId="1" xfId="0" applyNumberFormat="1" applyFont="1" applyBorder="1"/>
    <xf numFmtId="10" fontId="20" fillId="0" borderId="1" xfId="0" applyNumberFormat="1" applyFont="1" applyBorder="1" applyAlignment="1">
      <alignment horizontal="center" vertical="center"/>
    </xf>
    <xf numFmtId="0" fontId="3" fillId="0" borderId="0" xfId="0" applyFont="1" applyFill="1"/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18" fillId="0" borderId="1" xfId="0" applyFont="1" applyFill="1" applyBorder="1" applyAlignment="1">
      <alignment wrapText="1"/>
    </xf>
    <xf numFmtId="0" fontId="18" fillId="0" borderId="1" xfId="0" applyFont="1" applyFill="1" applyBorder="1" applyAlignment="1">
      <alignment horizontal="left" vertical="justify"/>
    </xf>
    <xf numFmtId="0" fontId="3" fillId="0" borderId="1" xfId="0" applyFont="1" applyFill="1" applyBorder="1" applyAlignment="1">
      <alignment horizontal="center" wrapText="1"/>
    </xf>
    <xf numFmtId="164" fontId="15" fillId="0" borderId="0" xfId="0" applyNumberFormat="1" applyFont="1" applyFill="1" applyAlignment="1">
      <alignment horizontal="center" vertical="center"/>
    </xf>
    <xf numFmtId="164" fontId="3" fillId="0" borderId="0" xfId="0" applyNumberFormat="1" applyFont="1" applyFill="1"/>
    <xf numFmtId="164" fontId="3" fillId="0" borderId="0" xfId="0" applyNumberFormat="1" applyFont="1" applyFill="1" applyAlignment="1">
      <alignment horizontal="center"/>
    </xf>
    <xf numFmtId="164" fontId="15" fillId="0" borderId="0" xfId="0" applyNumberFormat="1" applyFont="1" applyFill="1" applyAlignment="1">
      <alignment horizontal="center"/>
    </xf>
    <xf numFmtId="0" fontId="17" fillId="0" borderId="1" xfId="0" applyFont="1" applyFill="1" applyBorder="1" applyAlignment="1">
      <alignment horizontal="center" vertical="center" wrapText="1"/>
    </xf>
    <xf numFmtId="165" fontId="3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shrinkToFit="1"/>
    </xf>
    <xf numFmtId="2" fontId="3" fillId="0" borderId="1" xfId="4" applyNumberFormat="1" applyFont="1" applyFill="1" applyBorder="1" applyAlignment="1">
      <alignment horizontal="center" vertical="center" shrinkToFit="1"/>
    </xf>
    <xf numFmtId="164" fontId="3" fillId="0" borderId="1" xfId="4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/>
    </xf>
    <xf numFmtId="164" fontId="14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/>
    <xf numFmtId="164" fontId="9" fillId="0" borderId="0" xfId="0" applyNumberFormat="1" applyFont="1" applyFill="1"/>
    <xf numFmtId="10" fontId="14" fillId="0" borderId="1" xfId="0" applyNumberFormat="1" applyFont="1" applyFill="1" applyBorder="1" applyAlignment="1">
      <alignment horizontal="center" vertical="center"/>
    </xf>
    <xf numFmtId="10" fontId="3" fillId="0" borderId="0" xfId="0" applyNumberFormat="1" applyFont="1" applyFill="1"/>
    <xf numFmtId="0" fontId="9" fillId="0" borderId="0" xfId="0" applyFont="1" applyFill="1" applyAlignment="1">
      <alignment wrapText="1"/>
    </xf>
    <xf numFmtId="0" fontId="9" fillId="0" borderId="0" xfId="0" applyFont="1" applyFill="1" applyAlignment="1">
      <alignment vertical="center"/>
    </xf>
    <xf numFmtId="164" fontId="9" fillId="0" borderId="0" xfId="0" applyNumberFormat="1" applyFont="1" applyFill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right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textRotation="90" wrapText="1"/>
    </xf>
    <xf numFmtId="2" fontId="3" fillId="0" borderId="1" xfId="0" applyNumberFormat="1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left"/>
    </xf>
    <xf numFmtId="164" fontId="30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9" fillId="0" borderId="1" xfId="0" applyFont="1" applyFill="1" applyBorder="1" applyAlignment="1">
      <alignment horizontal="left" vertical="center"/>
    </xf>
    <xf numFmtId="165" fontId="29" fillId="0" borderId="1" xfId="0" applyNumberFormat="1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/>
    </xf>
    <xf numFmtId="164" fontId="29" fillId="0" borderId="1" xfId="0" applyNumberFormat="1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left"/>
    </xf>
    <xf numFmtId="0" fontId="18" fillId="0" borderId="1" xfId="0" applyFont="1" applyFill="1" applyBorder="1" applyAlignment="1">
      <alignment horizontal="center"/>
    </xf>
    <xf numFmtId="164" fontId="18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164" fontId="3" fillId="0" borderId="6" xfId="0" applyNumberFormat="1" applyFont="1" applyFill="1" applyBorder="1" applyAlignment="1">
      <alignment horizontal="center" vertical="center"/>
    </xf>
    <xf numFmtId="0" fontId="18" fillId="2" borderId="0" xfId="0" applyFont="1" applyFill="1"/>
    <xf numFmtId="0" fontId="31" fillId="2" borderId="0" xfId="0" applyFont="1" applyFill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21" fillId="0" borderId="0" xfId="0" applyFont="1" applyAlignment="1">
      <alignment horizontal="center"/>
    </xf>
    <xf numFmtId="0" fontId="25" fillId="0" borderId="0" xfId="0" applyFont="1"/>
    <xf numFmtId="0" fontId="25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/>
    </xf>
    <xf numFmtId="0" fontId="19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right" vertical="center"/>
    </xf>
    <xf numFmtId="0" fontId="12" fillId="0" borderId="0" xfId="0" applyFont="1" applyFill="1" applyAlignment="1">
      <alignment horizontal="right"/>
    </xf>
    <xf numFmtId="0" fontId="12" fillId="0" borderId="0" xfId="0" applyFont="1" applyFill="1" applyAlignment="1">
      <alignment horizontal="left"/>
    </xf>
    <xf numFmtId="0" fontId="3" fillId="0" borderId="0" xfId="0" applyFont="1" applyFill="1" applyAlignment="1">
      <alignment horizontal="right"/>
    </xf>
    <xf numFmtId="0" fontId="11" fillId="0" borderId="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64" fontId="12" fillId="0" borderId="0" xfId="0" applyNumberFormat="1" applyFont="1" applyFill="1" applyAlignment="1">
      <alignment horizontal="center" vertical="center"/>
    </xf>
    <xf numFmtId="0" fontId="17" fillId="0" borderId="1" xfId="0" applyFont="1" applyFill="1" applyBorder="1" applyAlignment="1">
      <alignment horizontal="center" vertical="center" textRotation="90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167" fontId="3" fillId="0" borderId="8" xfId="0" applyNumberFormat="1" applyFont="1" applyFill="1" applyBorder="1" applyAlignment="1">
      <alignment horizontal="center" vertical="center"/>
    </xf>
    <xf numFmtId="167" fontId="3" fillId="0" borderId="9" xfId="0" applyNumberFormat="1" applyFont="1" applyFill="1" applyBorder="1" applyAlignment="1">
      <alignment horizontal="center" vertical="center"/>
    </xf>
    <xf numFmtId="167" fontId="3" fillId="0" borderId="10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left" vertical="center" wrapText="1"/>
    </xf>
    <xf numFmtId="0" fontId="18" fillId="0" borderId="9" xfId="0" applyFont="1" applyFill="1" applyBorder="1" applyAlignment="1">
      <alignment horizontal="left" vertical="center" wrapText="1"/>
    </xf>
    <xf numFmtId="0" fontId="18" fillId="0" borderId="10" xfId="0" applyFont="1" applyFill="1" applyBorder="1" applyAlignment="1">
      <alignment horizontal="left" vertical="center" wrapText="1"/>
    </xf>
    <xf numFmtId="0" fontId="18" fillId="0" borderId="8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164" fontId="18" fillId="0" borderId="8" xfId="0" applyNumberFormat="1" applyFont="1" applyFill="1" applyBorder="1" applyAlignment="1">
      <alignment horizontal="center" vertical="center"/>
    </xf>
    <xf numFmtId="164" fontId="18" fillId="0" borderId="9" xfId="0" applyNumberFormat="1" applyFont="1" applyFill="1" applyBorder="1" applyAlignment="1">
      <alignment horizontal="center" vertical="center"/>
    </xf>
    <xf numFmtId="164" fontId="18" fillId="0" borderId="10" xfId="0" applyNumberFormat="1" applyFont="1" applyFill="1" applyBorder="1" applyAlignment="1">
      <alignment horizontal="center" vertical="center"/>
    </xf>
    <xf numFmtId="2" fontId="18" fillId="0" borderId="1" xfId="0" applyNumberFormat="1" applyFont="1" applyFill="1" applyBorder="1" applyAlignment="1">
      <alignment horizontal="center" vertical="center"/>
    </xf>
    <xf numFmtId="49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164" fontId="18" fillId="0" borderId="1" xfId="0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wrapText="1"/>
    </xf>
    <xf numFmtId="0" fontId="13" fillId="0" borderId="5" xfId="0" applyFont="1" applyFill="1" applyBorder="1" applyAlignment="1">
      <alignment horizontal="right" vertical="center" wrapText="1"/>
    </xf>
    <xf numFmtId="0" fontId="13" fillId="0" borderId="6" xfId="0" applyFont="1" applyFill="1" applyBorder="1" applyAlignment="1">
      <alignment horizontal="righ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</cellXfs>
  <cellStyles count="6">
    <cellStyle name="Normal 3 2" xfId="2"/>
    <cellStyle name="Normal 4 2 2" xfId="3"/>
    <cellStyle name="Normal 8 2 2" xfId="4"/>
    <cellStyle name="Обычный" xfId="0" builtinId="0"/>
    <cellStyle name="Обычный 3" xfId="5"/>
    <cellStyle name="Обычный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1.6.%20%20NAXAHASHIV%202017\9.17-%20Hnaberd%20Kangar\Naxahashiv\3.%20Naxahashiv-15.05.201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1.7.%20Naxahashiv%202018\01.18-%20Abovyan%20Kangar\Naxahashiv\3.%20Naxahashiv-15.05.201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POP"/>
      <sheetName val="NAX"/>
      <sheetName val="թեր ակտ"/>
      <sheetName val="Ծավալաթերթ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POP"/>
      <sheetName val="NAX"/>
      <sheetName val="թեր ակտ"/>
      <sheetName val="Ծավալաթերթ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H9"/>
  <sheetViews>
    <sheetView workbookViewId="0">
      <selection sqref="A1:XFD1048576"/>
    </sheetView>
  </sheetViews>
  <sheetFormatPr defaultRowHeight="15" x14ac:dyDescent="0.25"/>
  <cols>
    <col min="1" max="2" width="29.85546875" customWidth="1"/>
    <col min="3" max="3" width="43" customWidth="1"/>
    <col min="4" max="4" width="20.140625" customWidth="1"/>
    <col min="5" max="8" width="18.7109375" customWidth="1"/>
  </cols>
  <sheetData>
    <row r="5" spans="1:8" s="1" customFormat="1" ht="15" customHeight="1" x14ac:dyDescent="0.2">
      <c r="B5" s="103" t="s">
        <v>42</v>
      </c>
      <c r="C5" s="103"/>
      <c r="D5" s="103"/>
      <c r="E5" s="103"/>
      <c r="F5" s="103"/>
      <c r="G5" s="103"/>
      <c r="H5" s="104"/>
    </row>
    <row r="6" spans="1:8" s="1" customFormat="1" ht="12.75" x14ac:dyDescent="0.2">
      <c r="B6" s="105"/>
      <c r="C6" s="105"/>
      <c r="D6" s="105"/>
      <c r="E6" s="105"/>
      <c r="F6" s="105"/>
      <c r="G6" s="105"/>
      <c r="H6" s="106"/>
    </row>
    <row r="7" spans="1:8" s="1" customFormat="1" ht="12.75" x14ac:dyDescent="0.2">
      <c r="A7" s="102" t="s">
        <v>46</v>
      </c>
      <c r="B7" s="102" t="s">
        <v>40</v>
      </c>
      <c r="C7" s="102" t="s">
        <v>41</v>
      </c>
      <c r="D7" s="102" t="s">
        <v>2</v>
      </c>
      <c r="E7" s="102" t="s">
        <v>3</v>
      </c>
      <c r="F7" s="102" t="s">
        <v>5</v>
      </c>
      <c r="G7" s="102" t="s">
        <v>6</v>
      </c>
      <c r="H7" s="102" t="s">
        <v>4</v>
      </c>
    </row>
    <row r="8" spans="1:8" s="1" customFormat="1" ht="39.75" customHeight="1" x14ac:dyDescent="0.2">
      <c r="A8" s="102"/>
      <c r="B8" s="102"/>
      <c r="C8" s="102"/>
      <c r="D8" s="102"/>
      <c r="E8" s="102"/>
      <c r="F8" s="102"/>
      <c r="G8" s="102"/>
      <c r="H8" s="102"/>
    </row>
    <row r="9" spans="1:8" s="1" customFormat="1" ht="77.25" customHeight="1" x14ac:dyDescent="0.2">
      <c r="A9" s="16" t="s">
        <v>118</v>
      </c>
      <c r="B9" s="20" t="s">
        <v>142</v>
      </c>
      <c r="C9" s="16" t="s">
        <v>143</v>
      </c>
      <c r="D9" s="22" t="s">
        <v>123</v>
      </c>
      <c r="E9" s="2">
        <v>255337</v>
      </c>
      <c r="F9" s="21">
        <v>2358.6999999999998</v>
      </c>
      <c r="G9" s="21">
        <v>3136.87</v>
      </c>
      <c r="H9" s="20">
        <v>1.0761000000000001</v>
      </c>
    </row>
  </sheetData>
  <mergeCells count="9">
    <mergeCell ref="C7:C8"/>
    <mergeCell ref="B7:B8"/>
    <mergeCell ref="B5:H6"/>
    <mergeCell ref="A7:A8"/>
    <mergeCell ref="D7:D8"/>
    <mergeCell ref="E7:E8"/>
    <mergeCell ref="F7:F8"/>
    <mergeCell ref="G7:G8"/>
    <mergeCell ref="H7:H8"/>
  </mergeCells>
  <pageMargins left="0.7" right="0.7" top="0.75" bottom="0.75" header="0.3" footer="0.3"/>
  <pageSetup paperSize="9" orientation="landscape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8"/>
  <sheetViews>
    <sheetView view="pageBreakPreview" zoomScaleNormal="100" zoomScaleSheetLayoutView="100" workbookViewId="0">
      <selection activeCell="H18" sqref="H18"/>
    </sheetView>
  </sheetViews>
  <sheetFormatPr defaultRowHeight="15" x14ac:dyDescent="0.25"/>
  <cols>
    <col min="3" max="3" width="39.7109375" customWidth="1"/>
    <col min="4" max="4" width="35.42578125" customWidth="1"/>
  </cols>
  <sheetData>
    <row r="2" spans="2:4" ht="18.75" x14ac:dyDescent="0.3">
      <c r="B2" s="107" t="s">
        <v>49</v>
      </c>
      <c r="C2" s="107"/>
      <c r="D2" s="107"/>
    </row>
    <row r="3" spans="2:4" x14ac:dyDescent="0.25">
      <c r="B3" s="108"/>
      <c r="C3" s="108"/>
      <c r="D3" s="108"/>
    </row>
    <row r="4" spans="2:4" ht="21.75" customHeight="1" x14ac:dyDescent="0.25">
      <c r="B4" s="4">
        <v>1</v>
      </c>
      <c r="C4" s="5" t="s">
        <v>50</v>
      </c>
      <c r="D4" s="5"/>
    </row>
    <row r="5" spans="2:4" ht="21.75" customHeight="1" x14ac:dyDescent="0.25">
      <c r="B5" s="4">
        <v>2</v>
      </c>
      <c r="C5" s="5" t="s">
        <v>51</v>
      </c>
      <c r="D5" s="5"/>
    </row>
    <row r="6" spans="2:4" ht="21.75" customHeight="1" x14ac:dyDescent="0.25">
      <c r="B6" s="4">
        <v>3</v>
      </c>
      <c r="C6" s="5" t="s">
        <v>20</v>
      </c>
      <c r="D6" s="5"/>
    </row>
    <row r="7" spans="2:4" ht="21.75" customHeight="1" x14ac:dyDescent="0.25">
      <c r="B7" s="4">
        <v>4</v>
      </c>
      <c r="C7" s="5" t="s">
        <v>52</v>
      </c>
      <c r="D7" s="5"/>
    </row>
    <row r="8" spans="2:4" x14ac:dyDescent="0.25">
      <c r="B8" s="3"/>
    </row>
  </sheetData>
  <mergeCells count="2">
    <mergeCell ref="B2:D2"/>
    <mergeCell ref="B3:D3"/>
  </mergeCells>
  <pageMargins left="0.7" right="0.7" top="0.75" bottom="0.75" header="0.3" footer="0.3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O36"/>
  <sheetViews>
    <sheetView view="pageBreakPreview" topLeftCell="A7" zoomScaleNormal="100" zoomScaleSheetLayoutView="100" workbookViewId="0">
      <selection activeCell="N26" sqref="N26"/>
    </sheetView>
  </sheetViews>
  <sheetFormatPr defaultRowHeight="15" x14ac:dyDescent="0.25"/>
  <cols>
    <col min="2" max="2" width="12.5703125" customWidth="1"/>
    <col min="4" max="4" width="10.85546875" customWidth="1"/>
    <col min="6" max="6" width="11.42578125" customWidth="1"/>
    <col min="7" max="7" width="10.5703125" customWidth="1"/>
    <col min="10" max="10" width="10.42578125" customWidth="1"/>
    <col min="11" max="11" width="10.5703125" customWidth="1"/>
    <col min="13" max="13" width="11" customWidth="1"/>
  </cols>
  <sheetData>
    <row r="3" spans="2:15" ht="24" customHeight="1" x14ac:dyDescent="0.25"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spans="2:15" x14ac:dyDescent="0.25">
      <c r="B4" s="115" t="s">
        <v>53</v>
      </c>
      <c r="C4" s="115"/>
      <c r="D4" s="115"/>
      <c r="E4" s="115"/>
      <c r="F4" s="115"/>
      <c r="G4" s="115"/>
      <c r="H4" s="115"/>
      <c r="I4" s="115"/>
    </row>
    <row r="5" spans="2:15" x14ac:dyDescent="0.25">
      <c r="B5" s="115"/>
      <c r="C5" s="115"/>
      <c r="D5" s="115"/>
      <c r="E5" s="115"/>
      <c r="F5" s="115"/>
      <c r="G5" s="115"/>
      <c r="H5" s="115"/>
      <c r="I5" s="115"/>
    </row>
    <row r="6" spans="2:15" x14ac:dyDescent="0.25">
      <c r="B6" s="109"/>
      <c r="C6" s="109"/>
      <c r="D6" s="109"/>
      <c r="E6" s="109"/>
      <c r="F6" s="109"/>
      <c r="G6" s="109"/>
      <c r="H6" s="109"/>
      <c r="I6" s="109"/>
    </row>
    <row r="7" spans="2:15" x14ac:dyDescent="0.25">
      <c r="B7" s="109" t="s">
        <v>54</v>
      </c>
      <c r="C7" s="109"/>
      <c r="D7" s="109"/>
      <c r="E7" s="109"/>
      <c r="F7" s="109"/>
      <c r="G7" s="109"/>
      <c r="H7" s="109"/>
      <c r="I7" s="109"/>
    </row>
    <row r="8" spans="2:15" x14ac:dyDescent="0.25">
      <c r="B8" s="111" t="s">
        <v>55</v>
      </c>
      <c r="C8" s="111"/>
      <c r="D8" s="111"/>
      <c r="E8" s="111"/>
      <c r="F8" s="111"/>
      <c r="G8" s="111"/>
      <c r="H8" s="111"/>
      <c r="I8" s="111"/>
      <c r="J8" s="8"/>
      <c r="K8" s="8"/>
      <c r="L8" s="8"/>
      <c r="M8" s="8"/>
    </row>
    <row r="9" spans="2:15" x14ac:dyDescent="0.25">
      <c r="B9" s="111" t="s">
        <v>56</v>
      </c>
      <c r="C9" s="111"/>
      <c r="D9" s="111"/>
      <c r="E9" s="111"/>
      <c r="F9" s="111"/>
      <c r="G9" s="111"/>
      <c r="H9" s="111"/>
      <c r="I9" s="111"/>
    </row>
    <row r="10" spans="2:15" ht="15" customHeight="1" x14ac:dyDescent="0.25">
      <c r="B10" s="113" t="s">
        <v>57</v>
      </c>
      <c r="C10" s="113"/>
      <c r="D10" s="113"/>
      <c r="E10" s="113"/>
      <c r="F10" s="113"/>
      <c r="G10" s="113"/>
      <c r="H10" s="113"/>
      <c r="I10" s="113"/>
      <c r="J10" s="7"/>
      <c r="K10" s="7"/>
      <c r="L10" s="7"/>
      <c r="M10" s="7"/>
    </row>
    <row r="11" spans="2:15" x14ac:dyDescent="0.25">
      <c r="B11" s="114" t="s">
        <v>58</v>
      </c>
      <c r="C11" s="114"/>
      <c r="D11" s="114"/>
      <c r="E11" s="114"/>
      <c r="F11" s="114"/>
      <c r="G11" s="114"/>
      <c r="H11" s="114"/>
      <c r="I11" s="114"/>
      <c r="J11" s="9"/>
      <c r="K11" s="9"/>
      <c r="L11" s="9"/>
      <c r="M11" s="9"/>
    </row>
    <row r="12" spans="2:15" x14ac:dyDescent="0.25">
      <c r="B12" s="111" t="s">
        <v>59</v>
      </c>
      <c r="C12" s="111"/>
      <c r="D12" s="111"/>
      <c r="E12" s="111"/>
      <c r="F12" s="111"/>
      <c r="G12" s="111"/>
      <c r="H12" s="111"/>
      <c r="I12" s="111"/>
    </row>
    <row r="13" spans="2:15" x14ac:dyDescent="0.25">
      <c r="B13" s="111" t="s">
        <v>60</v>
      </c>
      <c r="C13" s="111"/>
      <c r="D13" s="111"/>
      <c r="E13" s="111"/>
      <c r="F13" s="111"/>
      <c r="G13" s="111"/>
      <c r="H13" s="111"/>
      <c r="I13" s="111"/>
    </row>
    <row r="14" spans="2:15" x14ac:dyDescent="0.25">
      <c r="B14" s="8" t="s">
        <v>61</v>
      </c>
      <c r="C14" s="8"/>
      <c r="D14" s="8"/>
      <c r="E14" s="8"/>
      <c r="F14" s="115" t="str">
        <f>Տվյալներ!D9</f>
        <v>2024թ. N04</v>
      </c>
      <c r="G14" s="115"/>
      <c r="H14" s="111" t="s">
        <v>62</v>
      </c>
      <c r="I14" s="111"/>
      <c r="J14" s="8"/>
      <c r="K14" s="8"/>
      <c r="L14" s="8"/>
      <c r="M14" s="8"/>
    </row>
    <row r="15" spans="2:15" ht="18" customHeight="1" x14ac:dyDescent="0.25">
      <c r="B15" s="112" t="s">
        <v>63</v>
      </c>
      <c r="C15" s="112"/>
      <c r="D15" s="112"/>
      <c r="E15" s="112"/>
      <c r="F15" s="112"/>
      <c r="G15" s="112"/>
      <c r="H15" s="112"/>
      <c r="I15" s="112"/>
      <c r="J15" s="10"/>
      <c r="K15" s="10"/>
      <c r="L15" s="10"/>
      <c r="M15" s="10"/>
    </row>
    <row r="16" spans="2:15" x14ac:dyDescent="0.25">
      <c r="B16" s="111" t="s">
        <v>64</v>
      </c>
      <c r="C16" s="111"/>
      <c r="D16" s="111"/>
      <c r="E16" s="111"/>
      <c r="F16" s="111"/>
      <c r="G16" s="11">
        <f>Տվյալներ!F9</f>
        <v>2358.6999999999998</v>
      </c>
    </row>
    <row r="17" spans="2:13" x14ac:dyDescent="0.25">
      <c r="B17" s="111" t="s">
        <v>65</v>
      </c>
      <c r="C17" s="111"/>
      <c r="D17" s="111"/>
      <c r="E17" s="111"/>
      <c r="F17" s="111"/>
      <c r="G17" s="11">
        <f>Տվյալներ!G9</f>
        <v>3136.87</v>
      </c>
    </row>
    <row r="18" spans="2:13" x14ac:dyDescent="0.25">
      <c r="B18" s="109" t="s">
        <v>66</v>
      </c>
      <c r="C18" s="109"/>
      <c r="D18" s="109"/>
      <c r="E18" s="109"/>
      <c r="F18" s="109"/>
      <c r="G18" s="109"/>
      <c r="H18" s="109"/>
      <c r="I18" s="109"/>
      <c r="K18" s="111"/>
      <c r="L18" s="111"/>
      <c r="M18" s="111"/>
    </row>
    <row r="19" spans="2:13" x14ac:dyDescent="0.25">
      <c r="B19" s="12">
        <f>Տվյալներ!E9</f>
        <v>255337</v>
      </c>
      <c r="C19" s="111" t="s">
        <v>67</v>
      </c>
      <c r="D19" s="111"/>
      <c r="E19" s="111"/>
      <c r="F19" s="111"/>
      <c r="G19" s="111"/>
      <c r="H19" s="111"/>
      <c r="I19" s="111"/>
      <c r="J19" s="12"/>
      <c r="K19" s="8"/>
      <c r="L19" s="8"/>
      <c r="M19" s="8"/>
    </row>
    <row r="20" spans="2:13" x14ac:dyDescent="0.25">
      <c r="B20" s="111" t="s">
        <v>68</v>
      </c>
      <c r="C20" s="111"/>
      <c r="D20" s="111"/>
      <c r="E20" s="111"/>
      <c r="F20" s="111"/>
      <c r="G20" s="111"/>
      <c r="H20" s="111"/>
      <c r="I20" s="111"/>
    </row>
    <row r="21" spans="2:13" x14ac:dyDescent="0.25">
      <c r="B21" s="111" t="s">
        <v>69</v>
      </c>
      <c r="C21" s="111"/>
      <c r="D21" t="str">
        <f>F14</f>
        <v>2024թ. N04</v>
      </c>
      <c r="E21" s="111" t="s">
        <v>70</v>
      </c>
      <c r="F21" s="111"/>
      <c r="G21" s="111"/>
      <c r="H21" s="111"/>
      <c r="I21" s="111"/>
      <c r="J21" s="3"/>
      <c r="K21" s="8"/>
      <c r="L21" s="8"/>
    </row>
    <row r="22" spans="2:13" x14ac:dyDescent="0.25">
      <c r="B22" s="111" t="s">
        <v>71</v>
      </c>
      <c r="C22" s="111"/>
      <c r="D22" s="111"/>
      <c r="E22" s="111"/>
      <c r="F22" s="111"/>
      <c r="G22" s="111"/>
      <c r="H22" s="111"/>
      <c r="I22" s="111"/>
    </row>
    <row r="23" spans="2:13" x14ac:dyDescent="0.25">
      <c r="B23" s="111" t="s">
        <v>72</v>
      </c>
      <c r="C23" s="111"/>
      <c r="D23" s="111"/>
      <c r="E23" s="13">
        <v>5</v>
      </c>
      <c r="F23" t="s">
        <v>73</v>
      </c>
    </row>
    <row r="24" spans="2:13" x14ac:dyDescent="0.25">
      <c r="B24" s="111" t="s">
        <v>74</v>
      </c>
      <c r="C24" s="111"/>
      <c r="D24" s="111"/>
      <c r="E24" s="13">
        <v>7.61</v>
      </c>
      <c r="F24" t="s">
        <v>73</v>
      </c>
    </row>
    <row r="25" spans="2:13" x14ac:dyDescent="0.25">
      <c r="B25" s="111" t="s">
        <v>75</v>
      </c>
      <c r="C25" s="111"/>
      <c r="D25" s="111"/>
      <c r="E25" s="13">
        <v>2</v>
      </c>
      <c r="F25" t="s">
        <v>73</v>
      </c>
    </row>
    <row r="26" spans="2:13" x14ac:dyDescent="0.25">
      <c r="B26" s="111" t="s">
        <v>76</v>
      </c>
      <c r="C26" s="111"/>
      <c r="D26" s="111"/>
      <c r="E26" s="111"/>
      <c r="F26" s="111"/>
      <c r="G26" s="15">
        <f>'Ամփոփ նախահաշիվ'!E7</f>
        <v>15275.355311765505</v>
      </c>
      <c r="H26" s="109" t="s">
        <v>77</v>
      </c>
      <c r="I26" s="109"/>
    </row>
    <row r="27" spans="2:13" x14ac:dyDescent="0.25">
      <c r="B27" s="111" t="s">
        <v>78</v>
      </c>
      <c r="C27" s="111"/>
      <c r="D27" s="111"/>
      <c r="E27" s="111"/>
      <c r="F27" s="111"/>
      <c r="G27" s="111"/>
      <c r="H27" s="111"/>
      <c r="I27" s="111"/>
    </row>
    <row r="28" spans="2:13" x14ac:dyDescent="0.25">
      <c r="B28" s="110" t="s">
        <v>79</v>
      </c>
      <c r="C28" s="110"/>
      <c r="D28" s="110"/>
      <c r="E28" s="110"/>
      <c r="F28" s="14">
        <f>'Ամփոփ նախահաշիվ'!C30</f>
        <v>14653.887652715532</v>
      </c>
      <c r="G28" s="111" t="s">
        <v>80</v>
      </c>
      <c r="H28" s="111"/>
    </row>
    <row r="29" spans="2:13" x14ac:dyDescent="0.25">
      <c r="B29" s="110" t="s">
        <v>81</v>
      </c>
      <c r="C29" s="110"/>
      <c r="D29" s="110"/>
      <c r="E29" s="110"/>
      <c r="F29" s="14">
        <f>'Ամփոփ նախահաշիվ'!F23</f>
        <v>237.11792318309924</v>
      </c>
      <c r="G29" s="111" t="s">
        <v>80</v>
      </c>
      <c r="H29" s="111"/>
    </row>
    <row r="30" spans="2:13" x14ac:dyDescent="0.25">
      <c r="B30" s="110" t="s">
        <v>82</v>
      </c>
      <c r="C30" s="110"/>
      <c r="D30" s="110"/>
      <c r="E30" s="110"/>
      <c r="F30" s="14">
        <f>'Ամփոփ նախահաշիվ'!F24</f>
        <v>71.135376954929768</v>
      </c>
      <c r="G30" s="111" t="s">
        <v>80</v>
      </c>
      <c r="H30" s="111"/>
    </row>
    <row r="31" spans="2:13" x14ac:dyDescent="0.25">
      <c r="B31" s="110" t="s">
        <v>83</v>
      </c>
      <c r="C31" s="110"/>
      <c r="D31" s="110"/>
      <c r="E31" s="110"/>
      <c r="F31" s="14">
        <f>'Ամփոփ նախահաշիվ'!F31</f>
        <v>31.365342468363302</v>
      </c>
      <c r="G31" s="111" t="s">
        <v>80</v>
      </c>
      <c r="H31" s="111"/>
    </row>
    <row r="32" spans="2:13" x14ac:dyDescent="0.25">
      <c r="B32" s="111" t="s">
        <v>84</v>
      </c>
      <c r="C32" s="111"/>
      <c r="D32" s="111"/>
      <c r="E32" s="111"/>
      <c r="F32" s="111"/>
      <c r="G32" s="111"/>
      <c r="H32" s="111"/>
      <c r="I32" s="111"/>
    </row>
    <row r="33" spans="2:9" x14ac:dyDescent="0.25">
      <c r="B33" s="111" t="s">
        <v>85</v>
      </c>
      <c r="C33" s="111"/>
      <c r="D33" s="111"/>
      <c r="E33" s="111"/>
      <c r="F33" s="111"/>
      <c r="G33" s="111"/>
      <c r="H33" s="111"/>
      <c r="I33" s="111"/>
    </row>
    <row r="36" spans="2:9" x14ac:dyDescent="0.25">
      <c r="B36" s="109" t="s">
        <v>86</v>
      </c>
      <c r="C36" s="109"/>
      <c r="D36" s="109"/>
      <c r="E36" s="109"/>
      <c r="F36" s="109"/>
      <c r="G36" s="109"/>
      <c r="H36" s="109"/>
      <c r="I36" s="109"/>
    </row>
  </sheetData>
  <mergeCells count="38">
    <mergeCell ref="B4:I5"/>
    <mergeCell ref="B6:I6"/>
    <mergeCell ref="B7:I7"/>
    <mergeCell ref="B8:I8"/>
    <mergeCell ref="B9:I9"/>
    <mergeCell ref="B15:I15"/>
    <mergeCell ref="B16:F16"/>
    <mergeCell ref="B17:F17"/>
    <mergeCell ref="B18:I18"/>
    <mergeCell ref="B10:I10"/>
    <mergeCell ref="B11:I11"/>
    <mergeCell ref="B12:I12"/>
    <mergeCell ref="B13:I13"/>
    <mergeCell ref="F14:G14"/>
    <mergeCell ref="H14:I14"/>
    <mergeCell ref="K18:M18"/>
    <mergeCell ref="C19:I19"/>
    <mergeCell ref="B29:E29"/>
    <mergeCell ref="G29:H29"/>
    <mergeCell ref="B21:C21"/>
    <mergeCell ref="E21:I21"/>
    <mergeCell ref="B22:I22"/>
    <mergeCell ref="B23:D23"/>
    <mergeCell ref="B24:D24"/>
    <mergeCell ref="B25:D25"/>
    <mergeCell ref="B26:F26"/>
    <mergeCell ref="H26:I26"/>
    <mergeCell ref="B27:I27"/>
    <mergeCell ref="B28:E28"/>
    <mergeCell ref="G28:H28"/>
    <mergeCell ref="B20:I20"/>
    <mergeCell ref="B36:I36"/>
    <mergeCell ref="B30:E30"/>
    <mergeCell ref="G30:H30"/>
    <mergeCell ref="B31:E31"/>
    <mergeCell ref="G31:H31"/>
    <mergeCell ref="B32:I32"/>
    <mergeCell ref="B33:I33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35"/>
  <sheetViews>
    <sheetView topLeftCell="A4" workbookViewId="0">
      <selection activeCell="I9" sqref="I9"/>
    </sheetView>
  </sheetViews>
  <sheetFormatPr defaultRowHeight="15" x14ac:dyDescent="0.25"/>
  <cols>
    <col min="1" max="1" width="16.85546875" style="24" customWidth="1"/>
    <col min="2" max="2" width="46.85546875" style="24" customWidth="1"/>
    <col min="3" max="6" width="18" style="24" customWidth="1"/>
    <col min="7" max="7" width="9.140625" style="24"/>
    <col min="8" max="8" width="9.5703125" style="24" bestFit="1" customWidth="1"/>
    <col min="9" max="16384" width="9.140625" style="24"/>
  </cols>
  <sheetData>
    <row r="3" spans="1:8" x14ac:dyDescent="0.25">
      <c r="A3" s="23" t="s">
        <v>37</v>
      </c>
      <c r="B3" s="117" t="str">
        <f>Տվյալներ!B9</f>
        <v xml:space="preserve">ՎՁՄ ԵՀ ԳՀԾՁԲ 2024/09    </v>
      </c>
      <c r="C3" s="117"/>
      <c r="D3" s="117"/>
      <c r="E3" s="117"/>
      <c r="F3" s="117"/>
    </row>
    <row r="4" spans="1:8" ht="34.5" customHeight="1" x14ac:dyDescent="0.25">
      <c r="A4" s="25" t="s">
        <v>14</v>
      </c>
      <c r="B4" s="118" t="str">
        <f>Տվյալներ!C9</f>
        <v>ՔԱՐԱԳԼՈՒԽ ԲՆԱԿԱՎԱՅՐԻ ԽՄԵԼՈՒ ՋՐԱԳԾԻ ԿԱՌՈՒՑՈՒՄ</v>
      </c>
      <c r="C4" s="118"/>
      <c r="D4" s="118"/>
      <c r="E4" s="118"/>
      <c r="F4" s="118"/>
    </row>
    <row r="5" spans="1:8" x14ac:dyDescent="0.25">
      <c r="A5" s="119" t="s">
        <v>38</v>
      </c>
      <c r="B5" s="119"/>
      <c r="C5" s="119"/>
      <c r="D5" s="119"/>
      <c r="E5" s="119"/>
      <c r="F5" s="119"/>
    </row>
    <row r="6" spans="1:8" x14ac:dyDescent="0.25">
      <c r="A6" s="119"/>
      <c r="B6" s="119"/>
      <c r="C6" s="119"/>
      <c r="D6" s="119"/>
      <c r="E6" s="119"/>
      <c r="F6" s="119"/>
    </row>
    <row r="7" spans="1:8" x14ac:dyDescent="0.25">
      <c r="E7" s="26">
        <f>F30</f>
        <v>15275.355311765505</v>
      </c>
      <c r="F7" s="27" t="s">
        <v>39</v>
      </c>
    </row>
    <row r="8" spans="1:8" x14ac:dyDescent="0.25">
      <c r="A8" s="120" t="s">
        <v>13</v>
      </c>
      <c r="B8" s="121" t="s">
        <v>14</v>
      </c>
      <c r="C8" s="120" t="s">
        <v>15</v>
      </c>
      <c r="D8" s="120" t="s">
        <v>16</v>
      </c>
      <c r="E8" s="120" t="s">
        <v>17</v>
      </c>
      <c r="F8" s="120" t="s">
        <v>18</v>
      </c>
    </row>
    <row r="9" spans="1:8" ht="30" customHeight="1" x14ac:dyDescent="0.25">
      <c r="A9" s="120"/>
      <c r="B9" s="121"/>
      <c r="C9" s="120"/>
      <c r="D9" s="120"/>
      <c r="E9" s="120"/>
      <c r="F9" s="120"/>
    </row>
    <row r="10" spans="1:8" x14ac:dyDescent="0.25">
      <c r="A10" s="28"/>
      <c r="B10" s="29" t="s">
        <v>19</v>
      </c>
      <c r="C10" s="28"/>
      <c r="D10" s="28"/>
      <c r="E10" s="28"/>
      <c r="F10" s="28"/>
    </row>
    <row r="11" spans="1:8" x14ac:dyDescent="0.25">
      <c r="A11" s="30" t="s">
        <v>36</v>
      </c>
      <c r="B11" s="19" t="s">
        <v>20</v>
      </c>
      <c r="C11" s="31">
        <f>Նախահաշիվ!P90</f>
        <v>11616.793506801225</v>
      </c>
      <c r="D11" s="17"/>
      <c r="E11" s="17"/>
      <c r="F11" s="17">
        <f>SUM(C11:E11)</f>
        <v>11616.793506801225</v>
      </c>
    </row>
    <row r="12" spans="1:8" x14ac:dyDescent="0.25">
      <c r="A12" s="28"/>
      <c r="B12" s="29" t="s">
        <v>21</v>
      </c>
      <c r="C12" s="18">
        <f>SUM(C11:C11)</f>
        <v>11616.793506801225</v>
      </c>
      <c r="D12" s="18"/>
      <c r="E12" s="18"/>
      <c r="F12" s="18">
        <f t="shared" ref="F12:F20" si="0">SUM(C12:E12)</f>
        <v>11616.793506801225</v>
      </c>
    </row>
    <row r="13" spans="1:8" x14ac:dyDescent="0.25">
      <c r="A13" s="28"/>
      <c r="B13" s="29" t="s">
        <v>22</v>
      </c>
      <c r="C13" s="18">
        <f>C12</f>
        <v>11616.793506801225</v>
      </c>
      <c r="D13" s="18"/>
      <c r="E13" s="18"/>
      <c r="F13" s="18">
        <f t="shared" si="0"/>
        <v>11616.793506801225</v>
      </c>
      <c r="H13" s="32"/>
    </row>
    <row r="14" spans="1:8" x14ac:dyDescent="0.25">
      <c r="A14" s="33" t="s">
        <v>125</v>
      </c>
      <c r="B14" s="29" t="s">
        <v>23</v>
      </c>
      <c r="C14" s="17">
        <f>C13*3%*0.5</f>
        <v>174.25190260201836</v>
      </c>
      <c r="D14" s="34"/>
      <c r="E14" s="34"/>
      <c r="F14" s="17">
        <f t="shared" si="0"/>
        <v>174.25190260201836</v>
      </c>
    </row>
    <row r="15" spans="1:8" x14ac:dyDescent="0.25">
      <c r="A15" s="28"/>
      <c r="B15" s="29" t="s">
        <v>24</v>
      </c>
      <c r="C15" s="18">
        <f>C14+C13</f>
        <v>11791.045409403243</v>
      </c>
      <c r="D15" s="18">
        <f>D14+D13</f>
        <v>0</v>
      </c>
      <c r="E15" s="17"/>
      <c r="F15" s="18">
        <f t="shared" si="0"/>
        <v>11791.045409403243</v>
      </c>
    </row>
    <row r="16" spans="1:8" x14ac:dyDescent="0.25">
      <c r="A16" s="28"/>
      <c r="B16" s="29" t="s">
        <v>25</v>
      </c>
      <c r="C16" s="17"/>
      <c r="D16" s="17"/>
      <c r="E16" s="17"/>
      <c r="F16" s="17"/>
    </row>
    <row r="17" spans="1:6" x14ac:dyDescent="0.25">
      <c r="A17" s="33" t="s">
        <v>178</v>
      </c>
      <c r="B17" s="19" t="s">
        <v>26</v>
      </c>
      <c r="C17" s="17">
        <f>C15*0.55%</f>
        <v>64.850749751717842</v>
      </c>
      <c r="D17" s="17"/>
      <c r="E17" s="17"/>
      <c r="F17" s="17">
        <f t="shared" si="0"/>
        <v>64.850749751717842</v>
      </c>
    </row>
    <row r="18" spans="1:6" x14ac:dyDescent="0.25">
      <c r="A18" s="28"/>
      <c r="B18" s="29" t="s">
        <v>21</v>
      </c>
      <c r="C18" s="18">
        <f>SUM(C17)</f>
        <v>64.850749751717842</v>
      </c>
      <c r="D18" s="18"/>
      <c r="E18" s="18"/>
      <c r="F18" s="18">
        <f t="shared" si="0"/>
        <v>64.850749751717842</v>
      </c>
    </row>
    <row r="19" spans="1:6" x14ac:dyDescent="0.25">
      <c r="A19" s="28"/>
      <c r="B19" s="19" t="s">
        <v>149</v>
      </c>
      <c r="C19" s="17"/>
      <c r="D19" s="17"/>
      <c r="E19" s="17">
        <f>C15*1.5%</f>
        <v>176.86568114104864</v>
      </c>
      <c r="F19" s="17">
        <f t="shared" si="0"/>
        <v>176.86568114104864</v>
      </c>
    </row>
    <row r="20" spans="1:6" x14ac:dyDescent="0.25">
      <c r="A20" s="28"/>
      <c r="B20" s="19" t="s">
        <v>27</v>
      </c>
      <c r="C20" s="17"/>
      <c r="D20" s="17"/>
      <c r="E20" s="17">
        <f>C15*0.15%</f>
        <v>17.686568114104865</v>
      </c>
      <c r="F20" s="17">
        <f t="shared" si="0"/>
        <v>17.686568114104865</v>
      </c>
    </row>
    <row r="21" spans="1:6" x14ac:dyDescent="0.25">
      <c r="A21" s="28"/>
      <c r="B21" s="29" t="s">
        <v>28</v>
      </c>
      <c r="C21" s="18">
        <f>C18+C15</f>
        <v>11855.896159154961</v>
      </c>
      <c r="D21" s="18">
        <f>D18+D15</f>
        <v>0</v>
      </c>
      <c r="E21" s="18">
        <f>SUM(E19:E20)</f>
        <v>194.5522492551535</v>
      </c>
      <c r="F21" s="18">
        <f>SUM(C21:E21)</f>
        <v>12050.448408410115</v>
      </c>
    </row>
    <row r="22" spans="1:6" x14ac:dyDescent="0.25">
      <c r="A22" s="28"/>
      <c r="B22" s="29" t="s">
        <v>29</v>
      </c>
      <c r="C22" s="17"/>
      <c r="D22" s="17"/>
      <c r="E22" s="17"/>
      <c r="F22" s="17"/>
    </row>
    <row r="23" spans="1:6" x14ac:dyDescent="0.25">
      <c r="A23" s="35">
        <v>0.02</v>
      </c>
      <c r="B23" s="19" t="s">
        <v>30</v>
      </c>
      <c r="C23" s="17"/>
      <c r="D23" s="17"/>
      <c r="E23" s="17">
        <f>C21*A23</f>
        <v>237.11792318309924</v>
      </c>
      <c r="F23" s="17">
        <f>SUM(C23:E23)</f>
        <v>237.11792318309924</v>
      </c>
    </row>
    <row r="24" spans="1:6" x14ac:dyDescent="0.25">
      <c r="A24" s="35">
        <v>6.0000000000000001E-3</v>
      </c>
      <c r="B24" s="19" t="s">
        <v>31</v>
      </c>
      <c r="C24" s="17"/>
      <c r="D24" s="17"/>
      <c r="E24" s="17">
        <f>C21*A24</f>
        <v>71.135376954929768</v>
      </c>
      <c r="F24" s="17">
        <f t="shared" ref="F24:F25" si="1">SUM(C24:E24)</f>
        <v>71.135376954929768</v>
      </c>
    </row>
    <row r="25" spans="1:6" x14ac:dyDescent="0.25">
      <c r="A25" s="28"/>
      <c r="B25" s="19" t="s">
        <v>21</v>
      </c>
      <c r="C25" s="17"/>
      <c r="D25" s="17"/>
      <c r="E25" s="18">
        <f>SUM(E23:E24)</f>
        <v>308.25330013802898</v>
      </c>
      <c r="F25" s="18">
        <f t="shared" si="1"/>
        <v>308.25330013802898</v>
      </c>
    </row>
    <row r="26" spans="1:6" x14ac:dyDescent="0.25">
      <c r="A26" s="28"/>
      <c r="B26" s="29" t="s">
        <v>32</v>
      </c>
      <c r="C26" s="18">
        <f>C21</f>
        <v>11855.896159154961</v>
      </c>
      <c r="D26" s="18">
        <f>D21</f>
        <v>0</v>
      </c>
      <c r="E26" s="18">
        <f>E25+E21</f>
        <v>502.80554939318245</v>
      </c>
      <c r="F26" s="18">
        <f>SUM(C26:E26)</f>
        <v>12358.701708548144</v>
      </c>
    </row>
    <row r="27" spans="1:6" x14ac:dyDescent="0.25">
      <c r="A27" s="28"/>
      <c r="B27" s="19" t="s">
        <v>33</v>
      </c>
      <c r="C27" s="17">
        <f>C26*3%</f>
        <v>355.67688477464884</v>
      </c>
      <c r="D27" s="17">
        <f>D26*3%</f>
        <v>0</v>
      </c>
      <c r="E27" s="17">
        <f>E26*3%</f>
        <v>15.084166481795473</v>
      </c>
      <c r="F27" s="18">
        <f t="shared" ref="F27:F30" si="2">SUM(C27:E27)</f>
        <v>370.76105125644432</v>
      </c>
    </row>
    <row r="28" spans="1:6" x14ac:dyDescent="0.25">
      <c r="A28" s="28"/>
      <c r="B28" s="29" t="s">
        <v>21</v>
      </c>
      <c r="C28" s="18">
        <f>C27+C26</f>
        <v>12211.573043929609</v>
      </c>
      <c r="D28" s="18">
        <f>D27+D26</f>
        <v>0</v>
      </c>
      <c r="E28" s="18">
        <f>E27+E26</f>
        <v>517.88971587497792</v>
      </c>
      <c r="F28" s="18">
        <f t="shared" si="2"/>
        <v>12729.462759804588</v>
      </c>
    </row>
    <row r="29" spans="1:6" x14ac:dyDescent="0.25">
      <c r="A29" s="35">
        <v>0.2</v>
      </c>
      <c r="B29" s="19" t="s">
        <v>34</v>
      </c>
      <c r="C29" s="17">
        <f>C28*A29</f>
        <v>2442.3146087859218</v>
      </c>
      <c r="D29" s="17">
        <f>D28*A29</f>
        <v>0</v>
      </c>
      <c r="E29" s="17">
        <f>E28*A29</f>
        <v>103.5779431749956</v>
      </c>
      <c r="F29" s="18">
        <f t="shared" si="2"/>
        <v>2545.8925519609174</v>
      </c>
    </row>
    <row r="30" spans="1:6" x14ac:dyDescent="0.25">
      <c r="A30" s="28"/>
      <c r="B30" s="29" t="s">
        <v>21</v>
      </c>
      <c r="C30" s="18">
        <f>C29+C28</f>
        <v>14653.887652715532</v>
      </c>
      <c r="D30" s="18">
        <f>SUM(D28:D29)</f>
        <v>0</v>
      </c>
      <c r="E30" s="18">
        <f>SUM(E28:E29)</f>
        <v>621.46765904997346</v>
      </c>
      <c r="F30" s="18">
        <f t="shared" si="2"/>
        <v>15275.355311765505</v>
      </c>
    </row>
    <row r="31" spans="1:6" x14ac:dyDescent="0.25">
      <c r="A31" s="28"/>
      <c r="B31" s="19" t="s">
        <v>35</v>
      </c>
      <c r="C31" s="17"/>
      <c r="D31" s="17"/>
      <c r="E31" s="17"/>
      <c r="F31" s="17">
        <f>F14*0.15*1.2</f>
        <v>31.365342468363302</v>
      </c>
    </row>
    <row r="35" spans="1:6" x14ac:dyDescent="0.25">
      <c r="A35" s="116" t="s">
        <v>48</v>
      </c>
      <c r="B35" s="116"/>
      <c r="C35" s="116"/>
      <c r="D35" s="116"/>
      <c r="E35" s="116"/>
      <c r="F35" s="116"/>
    </row>
  </sheetData>
  <mergeCells count="10">
    <mergeCell ref="A35:F35"/>
    <mergeCell ref="B3:F3"/>
    <mergeCell ref="B4:F4"/>
    <mergeCell ref="A5:F6"/>
    <mergeCell ref="A8:A9"/>
    <mergeCell ref="B8:B9"/>
    <mergeCell ref="C8:C9"/>
    <mergeCell ref="D8:D9"/>
    <mergeCell ref="E8:E9"/>
    <mergeCell ref="F8:F9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100"/>
  <sheetViews>
    <sheetView tabSelected="1" view="pageBreakPreview" topLeftCell="A64" zoomScale="90" zoomScaleNormal="90" zoomScaleSheetLayoutView="90" workbookViewId="0">
      <selection activeCell="A61" sqref="A1:XFD1048576"/>
    </sheetView>
  </sheetViews>
  <sheetFormatPr defaultRowHeight="12.75" x14ac:dyDescent="0.2"/>
  <cols>
    <col min="1" max="1" width="6.28515625" style="36" customWidth="1"/>
    <col min="2" max="2" width="7.5703125" style="37" customWidth="1"/>
    <col min="3" max="3" width="38.85546875" style="36" customWidth="1"/>
    <col min="4" max="4" width="7.140625" style="36" customWidth="1"/>
    <col min="5" max="5" width="9.28515625" style="36" customWidth="1"/>
    <col min="6" max="7" width="8.140625" style="36" customWidth="1"/>
    <col min="8" max="8" width="8.85546875" style="36" customWidth="1"/>
    <col min="9" max="10" width="8.140625" style="36" customWidth="1"/>
    <col min="11" max="11" width="25.7109375" style="36" customWidth="1"/>
    <col min="12" max="12" width="8" style="36" customWidth="1"/>
    <col min="13" max="13" width="8.7109375" style="36" customWidth="1"/>
    <col min="14" max="14" width="9.42578125" style="36" customWidth="1"/>
    <col min="15" max="15" width="9.5703125" style="36" customWidth="1"/>
    <col min="16" max="16" width="14.140625" style="36" customWidth="1"/>
    <col min="17" max="17" width="10.28515625" style="36" bestFit="1" customWidth="1"/>
    <col min="18" max="18" width="9" style="36" customWidth="1"/>
    <col min="19" max="16384" width="9.140625" style="36"/>
  </cols>
  <sheetData>
    <row r="3" spans="1:19" x14ac:dyDescent="0.2">
      <c r="C3" s="79" t="s">
        <v>37</v>
      </c>
      <c r="D3" s="127" t="str">
        <f>Տվյալներ!B9</f>
        <v xml:space="preserve">ՎՁՄ ԵՀ ԳՀԾՁԲ 2024/09    </v>
      </c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</row>
    <row r="4" spans="1:19" x14ac:dyDescent="0.2">
      <c r="C4" s="128" t="s">
        <v>14</v>
      </c>
      <c r="D4" s="127" t="str">
        <f>Տվյալներ!C9</f>
        <v>ՔԱՐԱԳԼՈՒԽ ԲՆԱԿԱՎԱՅՐԻ ԽՄԵԼՈՒ ՋՐԱԳԾԻ ԿԱՌՈՒՑՈՒՄ</v>
      </c>
      <c r="E4" s="127"/>
      <c r="F4" s="127"/>
      <c r="G4" s="127"/>
      <c r="H4" s="127"/>
      <c r="I4" s="127"/>
      <c r="J4" s="127"/>
      <c r="K4" s="127"/>
      <c r="L4" s="127"/>
      <c r="M4" s="127"/>
      <c r="N4" s="127"/>
      <c r="O4" s="127"/>
      <c r="P4" s="127"/>
      <c r="Q4" s="78"/>
    </row>
    <row r="5" spans="1:19" x14ac:dyDescent="0.2">
      <c r="C5" s="128"/>
      <c r="D5" s="127"/>
      <c r="E5" s="127"/>
      <c r="F5" s="127"/>
      <c r="G5" s="127"/>
      <c r="H5" s="127"/>
      <c r="I5" s="127"/>
      <c r="J5" s="127"/>
      <c r="K5" s="127"/>
      <c r="L5" s="127"/>
      <c r="M5" s="127"/>
      <c r="N5" s="127"/>
      <c r="O5" s="127"/>
      <c r="P5" s="127"/>
    </row>
    <row r="6" spans="1:19" x14ac:dyDescent="0.2">
      <c r="B6" s="38"/>
      <c r="C6" s="39"/>
    </row>
    <row r="7" spans="1:19" x14ac:dyDescent="0.2">
      <c r="A7" s="129"/>
      <c r="B7" s="129"/>
      <c r="C7" s="129"/>
      <c r="D7" s="129"/>
      <c r="E7" s="129"/>
      <c r="F7" s="130"/>
      <c r="G7" s="130"/>
      <c r="H7" s="130"/>
      <c r="I7" s="130"/>
      <c r="J7" s="130"/>
      <c r="K7" s="130"/>
      <c r="L7" s="130"/>
      <c r="M7" s="130"/>
      <c r="N7" s="130"/>
      <c r="O7" s="130"/>
      <c r="P7" s="130"/>
      <c r="Q7" s="130"/>
      <c r="R7" s="130"/>
    </row>
    <row r="8" spans="1:19" x14ac:dyDescent="0.2">
      <c r="B8" s="38"/>
      <c r="C8" s="39"/>
      <c r="I8" s="129" t="s">
        <v>45</v>
      </c>
      <c r="J8" s="129"/>
      <c r="K8" s="129"/>
      <c r="L8" s="131" t="s">
        <v>7</v>
      </c>
      <c r="M8" s="131"/>
      <c r="N8" s="131"/>
      <c r="O8" s="131"/>
      <c r="P8" s="40">
        <f>Տվյալներ!F9</f>
        <v>2358.6999999999998</v>
      </c>
    </row>
    <row r="9" spans="1:19" x14ac:dyDescent="0.2">
      <c r="L9" s="131" t="s">
        <v>9</v>
      </c>
      <c r="M9" s="131"/>
      <c r="N9" s="131"/>
      <c r="O9" s="131"/>
      <c r="P9" s="40">
        <f>Տվյալներ!G9</f>
        <v>3136.87</v>
      </c>
    </row>
    <row r="10" spans="1:19" x14ac:dyDescent="0.2">
      <c r="B10" s="41"/>
      <c r="C10" s="131" t="s">
        <v>10</v>
      </c>
      <c r="D10" s="131"/>
      <c r="E10" s="131"/>
      <c r="F10" s="131"/>
      <c r="G10" s="131"/>
      <c r="H10" s="136">
        <f>P90</f>
        <v>11616.793506801225</v>
      </c>
      <c r="I10" s="136"/>
      <c r="J10" s="42" t="s">
        <v>11</v>
      </c>
      <c r="L10" s="131" t="s">
        <v>8</v>
      </c>
      <c r="M10" s="131"/>
      <c r="N10" s="131"/>
      <c r="O10" s="131"/>
      <c r="P10" s="40">
        <f>Տվյալներ!H9</f>
        <v>1.0761000000000001</v>
      </c>
    </row>
    <row r="12" spans="1:19" ht="75" customHeight="1" x14ac:dyDescent="0.2">
      <c r="A12" s="135" t="s">
        <v>0</v>
      </c>
      <c r="B12" s="137" t="s">
        <v>95</v>
      </c>
      <c r="C12" s="135" t="s">
        <v>90</v>
      </c>
      <c r="D12" s="137" t="s">
        <v>91</v>
      </c>
      <c r="E12" s="137" t="s">
        <v>92</v>
      </c>
      <c r="F12" s="137" t="s">
        <v>93</v>
      </c>
      <c r="G12" s="135" t="s">
        <v>96</v>
      </c>
      <c r="H12" s="135"/>
      <c r="I12" s="135"/>
      <c r="J12" s="135"/>
      <c r="K12" s="135"/>
      <c r="L12" s="135"/>
      <c r="M12" s="135"/>
      <c r="N12" s="135"/>
      <c r="O12" s="135"/>
      <c r="P12" s="135" t="s">
        <v>94</v>
      </c>
      <c r="Q12" s="135" t="s">
        <v>97</v>
      </c>
      <c r="R12" s="93" t="s">
        <v>98</v>
      </c>
    </row>
    <row r="13" spans="1:19" ht="13.5" customHeight="1" x14ac:dyDescent="0.2">
      <c r="A13" s="135"/>
      <c r="B13" s="137"/>
      <c r="C13" s="135"/>
      <c r="D13" s="137"/>
      <c r="E13" s="137"/>
      <c r="F13" s="137"/>
      <c r="G13" s="135"/>
      <c r="H13" s="135"/>
      <c r="I13" s="135"/>
      <c r="J13" s="135"/>
      <c r="K13" s="135"/>
      <c r="L13" s="135"/>
      <c r="M13" s="135"/>
      <c r="N13" s="135"/>
      <c r="O13" s="135"/>
      <c r="P13" s="135"/>
      <c r="Q13" s="135"/>
      <c r="R13" s="43" t="s">
        <v>1</v>
      </c>
    </row>
    <row r="14" spans="1:19" ht="58.5" customHeight="1" x14ac:dyDescent="0.2">
      <c r="A14" s="135"/>
      <c r="B14" s="137"/>
      <c r="C14" s="135"/>
      <c r="D14" s="137"/>
      <c r="E14" s="137"/>
      <c r="F14" s="137"/>
      <c r="G14" s="135" t="s">
        <v>99</v>
      </c>
      <c r="H14" s="135"/>
      <c r="I14" s="135" t="s">
        <v>100</v>
      </c>
      <c r="J14" s="135"/>
      <c r="K14" s="135" t="s">
        <v>101</v>
      </c>
      <c r="L14" s="135"/>
      <c r="M14" s="135"/>
      <c r="N14" s="135"/>
      <c r="O14" s="135"/>
      <c r="P14" s="135"/>
      <c r="Q14" s="135"/>
      <c r="R14" s="44">
        <f>P10</f>
        <v>1.0761000000000001</v>
      </c>
    </row>
    <row r="15" spans="1:19" ht="60.75" customHeight="1" x14ac:dyDescent="0.2">
      <c r="A15" s="135"/>
      <c r="B15" s="137"/>
      <c r="C15" s="135"/>
      <c r="D15" s="137"/>
      <c r="E15" s="137"/>
      <c r="F15" s="137"/>
      <c r="G15" s="81" t="s">
        <v>102</v>
      </c>
      <c r="H15" s="81" t="s">
        <v>103</v>
      </c>
      <c r="I15" s="81" t="s">
        <v>104</v>
      </c>
      <c r="J15" s="81" t="s">
        <v>105</v>
      </c>
      <c r="K15" s="80" t="s">
        <v>106</v>
      </c>
      <c r="L15" s="81" t="s">
        <v>107</v>
      </c>
      <c r="M15" s="80" t="s">
        <v>108</v>
      </c>
      <c r="N15" s="80" t="s">
        <v>109</v>
      </c>
      <c r="O15" s="81" t="s">
        <v>110</v>
      </c>
      <c r="P15" s="80" t="s">
        <v>111</v>
      </c>
      <c r="Q15" s="80" t="s">
        <v>111</v>
      </c>
      <c r="R15" s="80" t="s">
        <v>112</v>
      </c>
      <c r="S15" s="40"/>
    </row>
    <row r="16" spans="1:19" x14ac:dyDescent="0.2">
      <c r="A16" s="45">
        <v>1</v>
      </c>
      <c r="B16" s="45">
        <v>2</v>
      </c>
      <c r="C16" s="45">
        <v>3</v>
      </c>
      <c r="D16" s="45">
        <v>4</v>
      </c>
      <c r="E16" s="45">
        <v>5</v>
      </c>
      <c r="F16" s="45">
        <v>6</v>
      </c>
      <c r="G16" s="45">
        <v>7</v>
      </c>
      <c r="H16" s="45">
        <v>8</v>
      </c>
      <c r="I16" s="45">
        <v>9</v>
      </c>
      <c r="J16" s="45">
        <v>10</v>
      </c>
      <c r="K16" s="45">
        <v>11</v>
      </c>
      <c r="L16" s="45">
        <v>12</v>
      </c>
      <c r="M16" s="45">
        <v>13</v>
      </c>
      <c r="N16" s="45">
        <v>14</v>
      </c>
      <c r="O16" s="45">
        <v>15</v>
      </c>
      <c r="P16" s="45">
        <v>16</v>
      </c>
      <c r="Q16" s="45">
        <v>17</v>
      </c>
      <c r="R16" s="45">
        <v>18</v>
      </c>
    </row>
    <row r="17" spans="1:18" ht="15" customHeight="1" x14ac:dyDescent="0.2">
      <c r="A17" s="132"/>
      <c r="B17" s="133"/>
      <c r="C17" s="133"/>
      <c r="D17" s="133"/>
      <c r="E17" s="133"/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4"/>
    </row>
    <row r="18" spans="1:18" x14ac:dyDescent="0.2">
      <c r="A18" s="138" t="s">
        <v>175</v>
      </c>
      <c r="B18" s="139"/>
      <c r="C18" s="140"/>
      <c r="D18" s="51" t="s">
        <v>114</v>
      </c>
      <c r="E18" s="82">
        <v>1500</v>
      </c>
      <c r="F18" s="74"/>
      <c r="G18" s="74"/>
      <c r="H18" s="74"/>
      <c r="I18" s="74"/>
      <c r="J18" s="74"/>
      <c r="K18" s="53"/>
      <c r="L18" s="75"/>
      <c r="M18" s="75"/>
      <c r="N18" s="75"/>
      <c r="O18" s="74"/>
      <c r="P18" s="74"/>
      <c r="Q18" s="74"/>
      <c r="R18" s="74"/>
    </row>
    <row r="19" spans="1:18" ht="12.75" customHeight="1" x14ac:dyDescent="0.2">
      <c r="A19" s="122">
        <v>1</v>
      </c>
      <c r="B19" s="123" t="s">
        <v>127</v>
      </c>
      <c r="C19" s="141" t="s">
        <v>128</v>
      </c>
      <c r="D19" s="122" t="s">
        <v>129</v>
      </c>
      <c r="E19" s="125">
        <f>0.5*0.6*E18*20%</f>
        <v>90</v>
      </c>
      <c r="F19" s="125">
        <f>H19+J19+R19</f>
        <v>0.50812015789999998</v>
      </c>
      <c r="G19" s="125">
        <v>8.1300000000000001E-3</v>
      </c>
      <c r="H19" s="125">
        <f>G19*$P$8/1000</f>
        <v>1.9176230999999998E-2</v>
      </c>
      <c r="I19" s="125">
        <v>0.15587000000000001</v>
      </c>
      <c r="J19" s="125">
        <f>I19*$P$9/1000</f>
        <v>0.48894392689999999</v>
      </c>
      <c r="K19" s="53"/>
      <c r="L19" s="75"/>
      <c r="M19" s="75"/>
      <c r="N19" s="75"/>
      <c r="O19" s="74"/>
      <c r="P19" s="125">
        <f>E19*F19</f>
        <v>45.730814210999995</v>
      </c>
      <c r="Q19" s="125">
        <f>O19+O20+O21+O22</f>
        <v>0</v>
      </c>
      <c r="R19" s="125">
        <f>Q19*1.02*1.05*$R$14</f>
        <v>0</v>
      </c>
    </row>
    <row r="20" spans="1:18" x14ac:dyDescent="0.2">
      <c r="A20" s="122"/>
      <c r="B20" s="123"/>
      <c r="C20" s="142"/>
      <c r="D20" s="122"/>
      <c r="E20" s="125"/>
      <c r="F20" s="125"/>
      <c r="G20" s="125"/>
      <c r="H20" s="125"/>
      <c r="I20" s="125"/>
      <c r="J20" s="125"/>
      <c r="K20" s="53"/>
      <c r="L20" s="75"/>
      <c r="M20" s="75"/>
      <c r="N20" s="75"/>
      <c r="O20" s="75"/>
      <c r="P20" s="125"/>
      <c r="Q20" s="122"/>
      <c r="R20" s="125"/>
    </row>
    <row r="21" spans="1:18" x14ac:dyDescent="0.2">
      <c r="A21" s="122"/>
      <c r="B21" s="123"/>
      <c r="C21" s="142"/>
      <c r="D21" s="122"/>
      <c r="E21" s="125"/>
      <c r="F21" s="125"/>
      <c r="G21" s="125"/>
      <c r="H21" s="125"/>
      <c r="I21" s="125"/>
      <c r="J21" s="125"/>
      <c r="K21" s="53"/>
      <c r="L21" s="75"/>
      <c r="M21" s="82"/>
      <c r="N21" s="74"/>
      <c r="O21" s="74"/>
      <c r="P21" s="125"/>
      <c r="Q21" s="122"/>
      <c r="R21" s="125"/>
    </row>
    <row r="22" spans="1:18" x14ac:dyDescent="0.2">
      <c r="A22" s="122"/>
      <c r="B22" s="123"/>
      <c r="C22" s="143"/>
      <c r="D22" s="122"/>
      <c r="E22" s="125"/>
      <c r="F22" s="125"/>
      <c r="G22" s="125"/>
      <c r="H22" s="125"/>
      <c r="I22" s="125"/>
      <c r="J22" s="125"/>
      <c r="K22" s="53"/>
      <c r="L22" s="75"/>
      <c r="M22" s="75"/>
      <c r="N22" s="75"/>
      <c r="O22" s="75"/>
      <c r="P22" s="125"/>
      <c r="Q22" s="122"/>
      <c r="R22" s="125"/>
    </row>
    <row r="23" spans="1:18" x14ac:dyDescent="0.2">
      <c r="A23" s="122">
        <v>2</v>
      </c>
      <c r="B23" s="123" t="s">
        <v>132</v>
      </c>
      <c r="C23" s="124" t="s">
        <v>133</v>
      </c>
      <c r="D23" s="122" t="s">
        <v>113</v>
      </c>
      <c r="E23" s="125">
        <f>0.5*0.6*E18*45%</f>
        <v>202.5</v>
      </c>
      <c r="F23" s="125">
        <f>H23+J23+R23</f>
        <v>0.66304157799999996</v>
      </c>
      <c r="G23" s="125">
        <f>10.6/1000</f>
        <v>1.06E-2</v>
      </c>
      <c r="H23" s="125">
        <f>G23*$P$8/1000</f>
        <v>2.5002219999999999E-2</v>
      </c>
      <c r="I23" s="125">
        <f>203.4/1000</f>
        <v>0.2034</v>
      </c>
      <c r="J23" s="125">
        <f>I23*$P$9/1000</f>
        <v>0.638039358</v>
      </c>
      <c r="K23" s="53"/>
      <c r="L23" s="75"/>
      <c r="M23" s="74"/>
      <c r="N23" s="74"/>
      <c r="O23" s="74"/>
      <c r="P23" s="125">
        <f>E23*F23</f>
        <v>134.265919545</v>
      </c>
      <c r="Q23" s="125">
        <f>O23+O24+O25+O26</f>
        <v>0</v>
      </c>
      <c r="R23" s="125">
        <f>Q23*1.02*1.05*$R$14</f>
        <v>0</v>
      </c>
    </row>
    <row r="24" spans="1:18" x14ac:dyDescent="0.2">
      <c r="A24" s="122"/>
      <c r="B24" s="123"/>
      <c r="C24" s="124"/>
      <c r="D24" s="122"/>
      <c r="E24" s="125"/>
      <c r="F24" s="125"/>
      <c r="G24" s="125"/>
      <c r="H24" s="125"/>
      <c r="I24" s="125"/>
      <c r="J24" s="125"/>
      <c r="K24" s="53"/>
      <c r="L24" s="75"/>
      <c r="M24" s="74"/>
      <c r="N24" s="74"/>
      <c r="O24" s="74"/>
      <c r="P24" s="125"/>
      <c r="Q24" s="122"/>
      <c r="R24" s="125"/>
    </row>
    <row r="25" spans="1:18" x14ac:dyDescent="0.2">
      <c r="A25" s="122"/>
      <c r="B25" s="123"/>
      <c r="C25" s="124"/>
      <c r="D25" s="122"/>
      <c r="E25" s="125"/>
      <c r="F25" s="125"/>
      <c r="G25" s="125"/>
      <c r="H25" s="125"/>
      <c r="I25" s="125"/>
      <c r="J25" s="125"/>
      <c r="K25" s="53"/>
      <c r="L25" s="75"/>
      <c r="M25" s="74"/>
      <c r="N25" s="74"/>
      <c r="O25" s="74"/>
      <c r="P25" s="125"/>
      <c r="Q25" s="122"/>
      <c r="R25" s="125"/>
    </row>
    <row r="26" spans="1:18" x14ac:dyDescent="0.2">
      <c r="A26" s="122"/>
      <c r="B26" s="123"/>
      <c r="C26" s="124"/>
      <c r="D26" s="122"/>
      <c r="E26" s="125"/>
      <c r="F26" s="125"/>
      <c r="G26" s="125"/>
      <c r="H26" s="125"/>
      <c r="I26" s="125"/>
      <c r="J26" s="125"/>
      <c r="K26" s="53"/>
      <c r="L26" s="75"/>
      <c r="M26" s="75"/>
      <c r="N26" s="75"/>
      <c r="O26" s="75"/>
      <c r="P26" s="125"/>
      <c r="Q26" s="122"/>
      <c r="R26" s="125"/>
    </row>
    <row r="27" spans="1:18" ht="12.75" customHeight="1" x14ac:dyDescent="0.2">
      <c r="A27" s="122">
        <v>3</v>
      </c>
      <c r="B27" s="123" t="s">
        <v>134</v>
      </c>
      <c r="C27" s="124" t="s">
        <v>135</v>
      </c>
      <c r="D27" s="122" t="s">
        <v>113</v>
      </c>
      <c r="E27" s="125">
        <f>0.5*0.6*E18*25%</f>
        <v>112.5</v>
      </c>
      <c r="F27" s="125">
        <f>H27+J27+R27</f>
        <v>0.89542759899999991</v>
      </c>
      <c r="G27" s="125">
        <f>14.3/1000</f>
        <v>1.43E-2</v>
      </c>
      <c r="H27" s="125">
        <f t="shared" ref="H27" si="0">G27*$P$8/1000</f>
        <v>3.3729410000000001E-2</v>
      </c>
      <c r="I27" s="125">
        <f>274.7/1000</f>
        <v>0.2747</v>
      </c>
      <c r="J27" s="125">
        <f t="shared" ref="J27" si="1">I27*$P$9/1000</f>
        <v>0.86169818899999995</v>
      </c>
      <c r="K27" s="53"/>
      <c r="L27" s="75"/>
      <c r="M27" s="74"/>
      <c r="N27" s="74"/>
      <c r="O27" s="74"/>
      <c r="P27" s="125">
        <f t="shared" ref="P27" si="2">E27*F27</f>
        <v>100.73560488749999</v>
      </c>
      <c r="Q27" s="125">
        <f t="shared" ref="Q27" si="3">O27+O28+O29+O30</f>
        <v>0</v>
      </c>
      <c r="R27" s="125">
        <f t="shared" ref="R27" si="4">Q27*1.02*1.05*$R$14</f>
        <v>0</v>
      </c>
    </row>
    <row r="28" spans="1:18" x14ac:dyDescent="0.2">
      <c r="A28" s="122"/>
      <c r="B28" s="123"/>
      <c r="C28" s="124"/>
      <c r="D28" s="122"/>
      <c r="E28" s="125"/>
      <c r="F28" s="125"/>
      <c r="G28" s="125"/>
      <c r="H28" s="125"/>
      <c r="I28" s="125"/>
      <c r="J28" s="125"/>
      <c r="K28" s="53"/>
      <c r="L28" s="75"/>
      <c r="M28" s="74"/>
      <c r="N28" s="74"/>
      <c r="O28" s="74"/>
      <c r="P28" s="125"/>
      <c r="Q28" s="122"/>
      <c r="R28" s="125"/>
    </row>
    <row r="29" spans="1:18" x14ac:dyDescent="0.2">
      <c r="A29" s="122"/>
      <c r="B29" s="123"/>
      <c r="C29" s="124"/>
      <c r="D29" s="122"/>
      <c r="E29" s="125"/>
      <c r="F29" s="125"/>
      <c r="G29" s="125"/>
      <c r="H29" s="125"/>
      <c r="I29" s="125"/>
      <c r="J29" s="125"/>
      <c r="K29" s="53"/>
      <c r="L29" s="75"/>
      <c r="M29" s="74"/>
      <c r="N29" s="74"/>
      <c r="O29" s="74"/>
      <c r="P29" s="125"/>
      <c r="Q29" s="122"/>
      <c r="R29" s="125"/>
    </row>
    <row r="30" spans="1:18" x14ac:dyDescent="0.2">
      <c r="A30" s="122"/>
      <c r="B30" s="123"/>
      <c r="C30" s="124"/>
      <c r="D30" s="122"/>
      <c r="E30" s="125"/>
      <c r="F30" s="125"/>
      <c r="G30" s="125"/>
      <c r="H30" s="125"/>
      <c r="I30" s="125"/>
      <c r="J30" s="125"/>
      <c r="K30" s="53"/>
      <c r="L30" s="75"/>
      <c r="M30" s="75"/>
      <c r="N30" s="75"/>
      <c r="O30" s="75"/>
      <c r="P30" s="125"/>
      <c r="Q30" s="122"/>
      <c r="R30" s="125"/>
    </row>
    <row r="31" spans="1:18" ht="12.75" customHeight="1" x14ac:dyDescent="0.2">
      <c r="A31" s="122">
        <v>4</v>
      </c>
      <c r="B31" s="123" t="s">
        <v>177</v>
      </c>
      <c r="C31" s="124" t="s">
        <v>176</v>
      </c>
      <c r="D31" s="122" t="s">
        <v>113</v>
      </c>
      <c r="E31" s="125">
        <f>0.5*0.6*E18*10%</f>
        <v>45</v>
      </c>
      <c r="F31" s="125">
        <f>H31+J31+R31</f>
        <v>1.0471888039999999</v>
      </c>
      <c r="G31" s="125">
        <f>16.8/1000</f>
        <v>1.6800000000000002E-2</v>
      </c>
      <c r="H31" s="125">
        <f t="shared" ref="H31" si="5">G31*$P$8/1000</f>
        <v>3.9626160000000007E-2</v>
      </c>
      <c r="I31" s="125">
        <f>321.2/1000</f>
        <v>0.32119999999999999</v>
      </c>
      <c r="J31" s="125">
        <f t="shared" ref="J31" si="6">I31*$P$9/1000</f>
        <v>1.0075626439999998</v>
      </c>
      <c r="K31" s="53"/>
      <c r="L31" s="75"/>
      <c r="M31" s="74"/>
      <c r="N31" s="74"/>
      <c r="O31" s="74"/>
      <c r="P31" s="125">
        <f t="shared" ref="P31" si="7">E31*F31</f>
        <v>47.123496179999997</v>
      </c>
      <c r="Q31" s="125">
        <f t="shared" ref="Q31" si="8">O31+O32+O33+O34</f>
        <v>0</v>
      </c>
      <c r="R31" s="125">
        <f t="shared" ref="R31" si="9">Q31*1.02*1.05*$R$14</f>
        <v>0</v>
      </c>
    </row>
    <row r="32" spans="1:18" x14ac:dyDescent="0.2">
      <c r="A32" s="122"/>
      <c r="B32" s="123"/>
      <c r="C32" s="124"/>
      <c r="D32" s="122"/>
      <c r="E32" s="125"/>
      <c r="F32" s="125"/>
      <c r="G32" s="125"/>
      <c r="H32" s="125"/>
      <c r="I32" s="125"/>
      <c r="J32" s="125"/>
      <c r="K32" s="53"/>
      <c r="L32" s="75"/>
      <c r="M32" s="74"/>
      <c r="N32" s="74"/>
      <c r="O32" s="74"/>
      <c r="P32" s="125"/>
      <c r="Q32" s="122"/>
      <c r="R32" s="125"/>
    </row>
    <row r="33" spans="1:18" x14ac:dyDescent="0.2">
      <c r="A33" s="122"/>
      <c r="B33" s="123"/>
      <c r="C33" s="124"/>
      <c r="D33" s="122"/>
      <c r="E33" s="125"/>
      <c r="F33" s="125"/>
      <c r="G33" s="125"/>
      <c r="H33" s="125"/>
      <c r="I33" s="125"/>
      <c r="J33" s="125"/>
      <c r="K33" s="53"/>
      <c r="L33" s="75"/>
      <c r="M33" s="74"/>
      <c r="N33" s="74"/>
      <c r="O33" s="74"/>
      <c r="P33" s="125"/>
      <c r="Q33" s="122"/>
      <c r="R33" s="125"/>
    </row>
    <row r="34" spans="1:18" x14ac:dyDescent="0.2">
      <c r="A34" s="122"/>
      <c r="B34" s="123"/>
      <c r="C34" s="124"/>
      <c r="D34" s="122"/>
      <c r="E34" s="125"/>
      <c r="F34" s="125"/>
      <c r="G34" s="125"/>
      <c r="H34" s="125"/>
      <c r="I34" s="125"/>
      <c r="J34" s="125"/>
      <c r="K34" s="53"/>
      <c r="L34" s="75"/>
      <c r="M34" s="75"/>
      <c r="N34" s="75"/>
      <c r="O34" s="75"/>
      <c r="P34" s="125"/>
      <c r="Q34" s="122"/>
      <c r="R34" s="125"/>
    </row>
    <row r="35" spans="1:18" ht="12.75" customHeight="1" x14ac:dyDescent="0.2">
      <c r="A35" s="122">
        <v>5</v>
      </c>
      <c r="B35" s="123" t="s">
        <v>124</v>
      </c>
      <c r="C35" s="141" t="s">
        <v>147</v>
      </c>
      <c r="D35" s="122" t="s">
        <v>113</v>
      </c>
      <c r="E35" s="125">
        <f>0.5*0.1*E18</f>
        <v>75</v>
      </c>
      <c r="F35" s="125">
        <f>H35+J35+R35</f>
        <v>0.97886049999999991</v>
      </c>
      <c r="G35" s="125">
        <f>41.5/100</f>
        <v>0.41499999999999998</v>
      </c>
      <c r="H35" s="125">
        <f>G35*$P$8/1000</f>
        <v>0.97886049999999991</v>
      </c>
      <c r="I35" s="125">
        <v>0</v>
      </c>
      <c r="J35" s="125">
        <f>I35*$P$9/1000</f>
        <v>0</v>
      </c>
      <c r="K35" s="53"/>
      <c r="L35" s="75"/>
      <c r="M35" s="75"/>
      <c r="N35" s="75"/>
      <c r="O35" s="74"/>
      <c r="P35" s="125">
        <f>E35*F35</f>
        <v>73.414537499999994</v>
      </c>
      <c r="Q35" s="125">
        <f>O35+O36+O37+O38</f>
        <v>0</v>
      </c>
      <c r="R35" s="125">
        <f>Q35*1.02*1.05*$R$14</f>
        <v>0</v>
      </c>
    </row>
    <row r="36" spans="1:18" x14ac:dyDescent="0.2">
      <c r="A36" s="122"/>
      <c r="B36" s="123"/>
      <c r="C36" s="142"/>
      <c r="D36" s="122"/>
      <c r="E36" s="125"/>
      <c r="F36" s="125"/>
      <c r="G36" s="125"/>
      <c r="H36" s="125"/>
      <c r="I36" s="125"/>
      <c r="J36" s="125"/>
      <c r="K36" s="53"/>
      <c r="L36" s="75"/>
      <c r="M36" s="75"/>
      <c r="N36" s="75"/>
      <c r="O36" s="75"/>
      <c r="P36" s="125"/>
      <c r="Q36" s="122"/>
      <c r="R36" s="125"/>
    </row>
    <row r="37" spans="1:18" x14ac:dyDescent="0.2">
      <c r="A37" s="122"/>
      <c r="B37" s="123"/>
      <c r="C37" s="142"/>
      <c r="D37" s="122"/>
      <c r="E37" s="125"/>
      <c r="F37" s="125"/>
      <c r="G37" s="125"/>
      <c r="H37" s="125"/>
      <c r="I37" s="125"/>
      <c r="J37" s="125"/>
      <c r="K37" s="53"/>
      <c r="L37" s="75"/>
      <c r="M37" s="82"/>
      <c r="N37" s="74"/>
      <c r="O37" s="74"/>
      <c r="P37" s="125"/>
      <c r="Q37" s="122"/>
      <c r="R37" s="125"/>
    </row>
    <row r="38" spans="1:18" ht="39" customHeight="1" x14ac:dyDescent="0.2">
      <c r="A38" s="122"/>
      <c r="B38" s="123"/>
      <c r="C38" s="143"/>
      <c r="D38" s="122"/>
      <c r="E38" s="125"/>
      <c r="F38" s="125"/>
      <c r="G38" s="125"/>
      <c r="H38" s="125"/>
      <c r="I38" s="125"/>
      <c r="J38" s="125"/>
      <c r="K38" s="53"/>
      <c r="L38" s="75"/>
      <c r="M38" s="75"/>
      <c r="N38" s="75"/>
      <c r="O38" s="75"/>
      <c r="P38" s="125"/>
      <c r="Q38" s="122"/>
      <c r="R38" s="125"/>
    </row>
    <row r="39" spans="1:18" ht="25.5" customHeight="1" x14ac:dyDescent="0.2">
      <c r="A39" s="122">
        <v>6</v>
      </c>
      <c r="B39" s="123" t="s">
        <v>145</v>
      </c>
      <c r="C39" s="124" t="s">
        <v>146</v>
      </c>
      <c r="D39" s="122" t="s">
        <v>114</v>
      </c>
      <c r="E39" s="125">
        <f>E18</f>
        <v>1500</v>
      </c>
      <c r="F39" s="125">
        <f>H39+J39+R39</f>
        <v>5.7475152726000003</v>
      </c>
      <c r="G39" s="125">
        <v>0.26</v>
      </c>
      <c r="H39" s="125">
        <f>G39*$P$8/1000</f>
        <v>0.61326199999999997</v>
      </c>
      <c r="I39" s="125">
        <v>0.04</v>
      </c>
      <c r="J39" s="125">
        <f>I39*$P$9/1000</f>
        <v>0.1254748</v>
      </c>
      <c r="K39" s="77" t="s">
        <v>148</v>
      </c>
      <c r="L39" s="75" t="s">
        <v>117</v>
      </c>
      <c r="M39" s="74">
        <v>1</v>
      </c>
      <c r="N39" s="74">
        <v>4.3460000000000001</v>
      </c>
      <c r="O39" s="74">
        <f>M39*N39</f>
        <v>4.3460000000000001</v>
      </c>
      <c r="P39" s="125">
        <f>E39*F39</f>
        <v>8621.2729089000004</v>
      </c>
      <c r="Q39" s="125">
        <f>O39+O40+O41+O42</f>
        <v>4.3460000000000001</v>
      </c>
      <c r="R39" s="125">
        <f>Q39*1.02*1.05*$R$14</f>
        <v>5.0087784726000004</v>
      </c>
    </row>
    <row r="40" spans="1:18" ht="18.75" customHeight="1" x14ac:dyDescent="0.2">
      <c r="A40" s="122"/>
      <c r="B40" s="123"/>
      <c r="C40" s="124"/>
      <c r="D40" s="122"/>
      <c r="E40" s="125"/>
      <c r="F40" s="125"/>
      <c r="G40" s="125"/>
      <c r="H40" s="125"/>
      <c r="I40" s="125"/>
      <c r="J40" s="125"/>
      <c r="K40" s="53"/>
      <c r="L40" s="75"/>
      <c r="M40" s="74"/>
      <c r="N40" s="75"/>
      <c r="O40" s="74"/>
      <c r="P40" s="125"/>
      <c r="Q40" s="122"/>
      <c r="R40" s="125"/>
    </row>
    <row r="41" spans="1:18" ht="18.75" customHeight="1" x14ac:dyDescent="0.2">
      <c r="A41" s="122"/>
      <c r="B41" s="123"/>
      <c r="C41" s="124"/>
      <c r="D41" s="122"/>
      <c r="E41" s="125"/>
      <c r="F41" s="125"/>
      <c r="G41" s="125"/>
      <c r="H41" s="125"/>
      <c r="I41" s="125"/>
      <c r="J41" s="125"/>
      <c r="K41" s="53"/>
      <c r="L41" s="75"/>
      <c r="M41" s="82"/>
      <c r="N41" s="74"/>
      <c r="O41" s="74"/>
      <c r="P41" s="125"/>
      <c r="Q41" s="122"/>
      <c r="R41" s="125"/>
    </row>
    <row r="42" spans="1:18" ht="24" customHeight="1" x14ac:dyDescent="0.2">
      <c r="A42" s="122"/>
      <c r="B42" s="123"/>
      <c r="C42" s="124"/>
      <c r="D42" s="122"/>
      <c r="E42" s="125"/>
      <c r="F42" s="125"/>
      <c r="G42" s="125"/>
      <c r="H42" s="125"/>
      <c r="I42" s="125"/>
      <c r="J42" s="125"/>
      <c r="K42" s="53"/>
      <c r="L42" s="75"/>
      <c r="M42" s="75"/>
      <c r="N42" s="75"/>
      <c r="O42" s="74"/>
      <c r="P42" s="125"/>
      <c r="Q42" s="122"/>
      <c r="R42" s="125"/>
    </row>
    <row r="43" spans="1:18" ht="25.5" customHeight="1" x14ac:dyDescent="0.2">
      <c r="A43" s="122">
        <v>7</v>
      </c>
      <c r="B43" s="123" t="s">
        <v>121</v>
      </c>
      <c r="C43" s="124" t="s">
        <v>126</v>
      </c>
      <c r="D43" s="122" t="s">
        <v>119</v>
      </c>
      <c r="E43" s="125">
        <f>3.14*0.127*E18</f>
        <v>598.17000000000007</v>
      </c>
      <c r="F43" s="125">
        <f>H43+J43+R43</f>
        <v>0.1903817332678</v>
      </c>
      <c r="G43" s="125">
        <f>2.71/100+2.13/100</f>
        <v>4.8399999999999999E-2</v>
      </c>
      <c r="H43" s="125">
        <f>G43*$P$8/1000</f>
        <v>0.11416107999999998</v>
      </c>
      <c r="I43" s="125">
        <f>0.36/100*2</f>
        <v>7.1999999999999998E-3</v>
      </c>
      <c r="J43" s="125">
        <f>I43*$P$9/1000</f>
        <v>2.2585464E-2</v>
      </c>
      <c r="K43" s="55" t="s">
        <v>122</v>
      </c>
      <c r="L43" s="56" t="s">
        <v>12</v>
      </c>
      <c r="M43" s="57">
        <v>0.1</v>
      </c>
      <c r="N43" s="74">
        <v>0.16550000000000001</v>
      </c>
      <c r="O43" s="74">
        <f>M43*N43</f>
        <v>1.6550000000000002E-2</v>
      </c>
      <c r="P43" s="125">
        <f>E43*F43</f>
        <v>113.88064138879994</v>
      </c>
      <c r="Q43" s="125">
        <f>O43+O44+O45+O46</f>
        <v>4.6538000000000003E-2</v>
      </c>
      <c r="R43" s="125">
        <f>Q43*1.02*1.05*$R$14</f>
        <v>5.3635189267800018E-2</v>
      </c>
    </row>
    <row r="44" spans="1:18" ht="18.75" customHeight="1" x14ac:dyDescent="0.2">
      <c r="A44" s="122"/>
      <c r="B44" s="123"/>
      <c r="C44" s="124"/>
      <c r="D44" s="122"/>
      <c r="E44" s="125"/>
      <c r="F44" s="125"/>
      <c r="G44" s="125"/>
      <c r="H44" s="125"/>
      <c r="I44" s="125"/>
      <c r="J44" s="125"/>
      <c r="K44" s="55" t="s">
        <v>120</v>
      </c>
      <c r="L44" s="56" t="s">
        <v>12</v>
      </c>
      <c r="M44" s="58">
        <f>3.6/100</f>
        <v>3.6000000000000004E-2</v>
      </c>
      <c r="N44" s="75">
        <v>0.83299999999999996</v>
      </c>
      <c r="O44" s="74">
        <f t="shared" ref="O44" si="10">M44*N44</f>
        <v>2.9988000000000001E-2</v>
      </c>
      <c r="P44" s="125"/>
      <c r="Q44" s="122"/>
      <c r="R44" s="125"/>
    </row>
    <row r="45" spans="1:18" ht="18.75" customHeight="1" x14ac:dyDescent="0.2">
      <c r="A45" s="122"/>
      <c r="B45" s="123"/>
      <c r="C45" s="124"/>
      <c r="D45" s="122"/>
      <c r="E45" s="125"/>
      <c r="F45" s="125"/>
      <c r="G45" s="125"/>
      <c r="H45" s="125"/>
      <c r="I45" s="125"/>
      <c r="J45" s="125"/>
      <c r="K45" s="53"/>
      <c r="L45" s="75"/>
      <c r="M45" s="82"/>
      <c r="N45" s="74"/>
      <c r="O45" s="74"/>
      <c r="P45" s="125"/>
      <c r="Q45" s="122"/>
      <c r="R45" s="125"/>
    </row>
    <row r="46" spans="1:18" ht="24" customHeight="1" x14ac:dyDescent="0.2">
      <c r="A46" s="122"/>
      <c r="B46" s="123"/>
      <c r="C46" s="124"/>
      <c r="D46" s="122"/>
      <c r="E46" s="125"/>
      <c r="F46" s="125"/>
      <c r="G46" s="125"/>
      <c r="H46" s="125"/>
      <c r="I46" s="125"/>
      <c r="J46" s="125"/>
      <c r="K46" s="53"/>
      <c r="L46" s="75"/>
      <c r="M46" s="75"/>
      <c r="N46" s="75"/>
      <c r="O46" s="74"/>
      <c r="P46" s="125"/>
      <c r="Q46" s="122"/>
      <c r="R46" s="125"/>
    </row>
    <row r="47" spans="1:18" ht="14.25" customHeight="1" x14ac:dyDescent="0.2">
      <c r="A47" s="122">
        <v>8</v>
      </c>
      <c r="B47" s="122" t="s">
        <v>136</v>
      </c>
      <c r="C47" s="124" t="s">
        <v>137</v>
      </c>
      <c r="D47" s="122" t="s">
        <v>113</v>
      </c>
      <c r="E47" s="125">
        <f>E19+E23+E27-E35-3.14*0.127*0.127/4*E39</f>
        <v>311.00810250000001</v>
      </c>
      <c r="F47" s="125">
        <f>H47+J47+R47</f>
        <v>7.2775383999999985E-2</v>
      </c>
      <c r="G47" s="125">
        <v>0</v>
      </c>
      <c r="H47" s="125">
        <f t="shared" ref="H47" si="11">G47*$P$8/1000</f>
        <v>0</v>
      </c>
      <c r="I47" s="125">
        <f>23.2/1000</f>
        <v>2.3199999999999998E-2</v>
      </c>
      <c r="J47" s="125">
        <f t="shared" ref="J47" si="12">I47*$P$9/1000</f>
        <v>7.2775383999999985E-2</v>
      </c>
      <c r="K47" s="53"/>
      <c r="L47" s="75"/>
      <c r="M47" s="74"/>
      <c r="N47" s="74"/>
      <c r="O47" s="74"/>
      <c r="P47" s="125">
        <f t="shared" ref="P47" si="13">E47*F47</f>
        <v>22.633734086548856</v>
      </c>
      <c r="Q47" s="125">
        <f t="shared" ref="Q47" si="14">O47+O48+O49+O50</f>
        <v>0</v>
      </c>
      <c r="R47" s="125">
        <f t="shared" ref="R47" si="15">Q47*1.02*1.05*$R$14</f>
        <v>0</v>
      </c>
    </row>
    <row r="48" spans="1:18" x14ac:dyDescent="0.2">
      <c r="A48" s="122"/>
      <c r="B48" s="122"/>
      <c r="C48" s="124"/>
      <c r="D48" s="122"/>
      <c r="E48" s="125"/>
      <c r="F48" s="125"/>
      <c r="G48" s="125"/>
      <c r="H48" s="125"/>
      <c r="I48" s="125"/>
      <c r="J48" s="125"/>
      <c r="K48" s="53"/>
      <c r="L48" s="75"/>
      <c r="M48" s="75"/>
      <c r="N48" s="75"/>
      <c r="O48" s="75"/>
      <c r="P48" s="125"/>
      <c r="Q48" s="122"/>
      <c r="R48" s="125"/>
    </row>
    <row r="49" spans="1:18" x14ac:dyDescent="0.2">
      <c r="A49" s="122"/>
      <c r="B49" s="122"/>
      <c r="C49" s="124"/>
      <c r="D49" s="122"/>
      <c r="E49" s="125"/>
      <c r="F49" s="125"/>
      <c r="G49" s="125"/>
      <c r="H49" s="125"/>
      <c r="I49" s="125"/>
      <c r="J49" s="125"/>
      <c r="K49" s="53"/>
      <c r="L49" s="75"/>
      <c r="M49" s="82"/>
      <c r="N49" s="74"/>
      <c r="O49" s="74"/>
      <c r="P49" s="125"/>
      <c r="Q49" s="122"/>
      <c r="R49" s="125"/>
    </row>
    <row r="50" spans="1:18" x14ac:dyDescent="0.2">
      <c r="A50" s="122"/>
      <c r="B50" s="122"/>
      <c r="C50" s="124"/>
      <c r="D50" s="122"/>
      <c r="E50" s="125"/>
      <c r="F50" s="125"/>
      <c r="G50" s="125"/>
      <c r="H50" s="125"/>
      <c r="I50" s="125"/>
      <c r="J50" s="125"/>
      <c r="K50" s="53"/>
      <c r="L50" s="75"/>
      <c r="M50" s="75"/>
      <c r="N50" s="75"/>
      <c r="O50" s="75"/>
      <c r="P50" s="125"/>
      <c r="Q50" s="122"/>
      <c r="R50" s="125"/>
    </row>
    <row r="51" spans="1:18" ht="15" customHeight="1" x14ac:dyDescent="0.2">
      <c r="A51" s="122">
        <v>9</v>
      </c>
      <c r="B51" s="123" t="s">
        <v>138</v>
      </c>
      <c r="C51" s="124" t="s">
        <v>139</v>
      </c>
      <c r="D51" s="123" t="s">
        <v>140</v>
      </c>
      <c r="E51" s="147">
        <v>1</v>
      </c>
      <c r="F51" s="125">
        <f>H51+J51+R51</f>
        <v>3.8032602300000002</v>
      </c>
      <c r="G51" s="125">
        <v>0</v>
      </c>
      <c r="H51" s="125">
        <f t="shared" ref="H51" si="16">G51*$P$8/1000</f>
        <v>0</v>
      </c>
      <c r="I51" s="125">
        <v>0</v>
      </c>
      <c r="J51" s="125">
        <f t="shared" ref="J51" si="17">I51*$P$9/1000</f>
        <v>0</v>
      </c>
      <c r="K51" s="53" t="s">
        <v>141</v>
      </c>
      <c r="L51" s="75" t="s">
        <v>140</v>
      </c>
      <c r="M51" s="74">
        <v>1</v>
      </c>
      <c r="N51" s="74">
        <v>3.3</v>
      </c>
      <c r="O51" s="74">
        <f>M51*N51</f>
        <v>3.3</v>
      </c>
      <c r="P51" s="125">
        <f t="shared" ref="P51" si="18">E51*F51</f>
        <v>3.8032602300000002</v>
      </c>
      <c r="Q51" s="125">
        <f t="shared" ref="Q51" si="19">O51+O52+O53+O54</f>
        <v>3.3</v>
      </c>
      <c r="R51" s="125">
        <f t="shared" ref="R51" si="20">Q51*1.02*1.05*$R$14</f>
        <v>3.8032602300000002</v>
      </c>
    </row>
    <row r="52" spans="1:18" x14ac:dyDescent="0.2">
      <c r="A52" s="122"/>
      <c r="B52" s="123"/>
      <c r="C52" s="124"/>
      <c r="D52" s="123"/>
      <c r="E52" s="147"/>
      <c r="F52" s="125"/>
      <c r="G52" s="125"/>
      <c r="H52" s="125"/>
      <c r="I52" s="125"/>
      <c r="J52" s="125"/>
      <c r="K52" s="53"/>
      <c r="L52" s="75"/>
      <c r="M52" s="75"/>
      <c r="N52" s="75"/>
      <c r="O52" s="75"/>
      <c r="P52" s="125"/>
      <c r="Q52" s="122"/>
      <c r="R52" s="125"/>
    </row>
    <row r="53" spans="1:18" x14ac:dyDescent="0.2">
      <c r="A53" s="122"/>
      <c r="B53" s="123"/>
      <c r="C53" s="124"/>
      <c r="D53" s="123"/>
      <c r="E53" s="147"/>
      <c r="F53" s="125"/>
      <c r="G53" s="125"/>
      <c r="H53" s="125"/>
      <c r="I53" s="125"/>
      <c r="J53" s="125"/>
      <c r="K53" s="53"/>
      <c r="L53" s="75"/>
      <c r="M53" s="75"/>
      <c r="N53" s="75"/>
      <c r="O53" s="75"/>
      <c r="P53" s="125"/>
      <c r="Q53" s="122"/>
      <c r="R53" s="125"/>
    </row>
    <row r="54" spans="1:18" ht="30" customHeight="1" x14ac:dyDescent="0.2">
      <c r="A54" s="122"/>
      <c r="B54" s="123"/>
      <c r="C54" s="124"/>
      <c r="D54" s="123"/>
      <c r="E54" s="147"/>
      <c r="F54" s="125"/>
      <c r="G54" s="125"/>
      <c r="H54" s="125"/>
      <c r="I54" s="125"/>
      <c r="J54" s="125"/>
      <c r="K54" s="53"/>
      <c r="L54" s="75"/>
      <c r="M54" s="75"/>
      <c r="N54" s="75"/>
      <c r="O54" s="75"/>
      <c r="P54" s="125"/>
      <c r="Q54" s="122"/>
      <c r="R54" s="125"/>
    </row>
    <row r="55" spans="1:18" ht="14.25" customHeight="1" x14ac:dyDescent="0.2">
      <c r="A55" s="122">
        <v>10</v>
      </c>
      <c r="B55" s="123" t="s">
        <v>130</v>
      </c>
      <c r="C55" s="124" t="s">
        <v>144</v>
      </c>
      <c r="D55" s="122" t="s">
        <v>113</v>
      </c>
      <c r="E55" s="125">
        <v>0.1</v>
      </c>
      <c r="F55" s="125">
        <f>H55+J55+R55</f>
        <v>76.102777038400006</v>
      </c>
      <c r="G55" s="125">
        <v>2.98</v>
      </c>
      <c r="H55" s="125">
        <f>G55*$P$8/1000</f>
        <v>7.0289259999999993</v>
      </c>
      <c r="I55" s="125">
        <v>0.54</v>
      </c>
      <c r="J55" s="125">
        <f>I55*$P$9/1000</f>
        <v>1.6939098000000001</v>
      </c>
      <c r="K55" s="60" t="s">
        <v>131</v>
      </c>
      <c r="L55" s="45" t="s">
        <v>113</v>
      </c>
      <c r="M55" s="74">
        <v>1.0149999999999999</v>
      </c>
      <c r="N55" s="74">
        <v>57.6</v>
      </c>
      <c r="O55" s="74">
        <f t="shared" ref="O55" si="21">M55*N55</f>
        <v>58.463999999999999</v>
      </c>
      <c r="P55" s="125">
        <f>E55*F55</f>
        <v>7.6102777038400014</v>
      </c>
      <c r="Q55" s="125">
        <f>O55+O56+O57+O58+O59</f>
        <v>58.463999999999999</v>
      </c>
      <c r="R55" s="125">
        <f>Q55*1.02*1.05*$R$14</f>
        <v>67.379941238400008</v>
      </c>
    </row>
    <row r="56" spans="1:18" x14ac:dyDescent="0.2">
      <c r="A56" s="122"/>
      <c r="B56" s="123"/>
      <c r="C56" s="124"/>
      <c r="D56" s="122"/>
      <c r="E56" s="125"/>
      <c r="F56" s="125"/>
      <c r="G56" s="125"/>
      <c r="H56" s="125"/>
      <c r="I56" s="125"/>
      <c r="J56" s="125"/>
      <c r="K56" s="61"/>
      <c r="L56" s="45"/>
      <c r="M56" s="74"/>
      <c r="N56" s="74"/>
      <c r="O56" s="74"/>
      <c r="P56" s="125"/>
      <c r="Q56" s="122"/>
      <c r="R56" s="125"/>
    </row>
    <row r="57" spans="1:18" x14ac:dyDescent="0.2">
      <c r="A57" s="122"/>
      <c r="B57" s="123"/>
      <c r="C57" s="124"/>
      <c r="D57" s="122"/>
      <c r="E57" s="125"/>
      <c r="F57" s="125"/>
      <c r="G57" s="125"/>
      <c r="H57" s="125"/>
      <c r="I57" s="125"/>
      <c r="J57" s="125"/>
      <c r="K57" s="61"/>
      <c r="L57" s="45"/>
      <c r="M57" s="74"/>
      <c r="N57" s="74"/>
      <c r="O57" s="74"/>
      <c r="P57" s="125"/>
      <c r="Q57" s="122"/>
      <c r="R57" s="125"/>
    </row>
    <row r="58" spans="1:18" x14ac:dyDescent="0.2">
      <c r="A58" s="122"/>
      <c r="B58" s="123"/>
      <c r="C58" s="124"/>
      <c r="D58" s="122"/>
      <c r="E58" s="125"/>
      <c r="F58" s="125"/>
      <c r="G58" s="125"/>
      <c r="H58" s="125"/>
      <c r="I58" s="125"/>
      <c r="J58" s="125"/>
      <c r="K58" s="61"/>
      <c r="L58" s="45"/>
      <c r="M58" s="74"/>
      <c r="N58" s="74"/>
      <c r="O58" s="74"/>
      <c r="P58" s="125"/>
      <c r="Q58" s="122"/>
      <c r="R58" s="125"/>
    </row>
    <row r="59" spans="1:18" x14ac:dyDescent="0.2">
      <c r="A59" s="122"/>
      <c r="B59" s="123"/>
      <c r="C59" s="124"/>
      <c r="D59" s="122"/>
      <c r="E59" s="125"/>
      <c r="F59" s="125"/>
      <c r="G59" s="125"/>
      <c r="H59" s="125"/>
      <c r="I59" s="125"/>
      <c r="J59" s="125"/>
      <c r="K59" s="61"/>
      <c r="L59" s="45"/>
      <c r="M59" s="74"/>
      <c r="N59" s="74"/>
      <c r="O59" s="74"/>
      <c r="P59" s="125"/>
      <c r="Q59" s="122"/>
      <c r="R59" s="125"/>
    </row>
    <row r="60" spans="1:18" x14ac:dyDescent="0.2">
      <c r="A60" s="75"/>
      <c r="B60" s="76"/>
      <c r="C60" s="77" t="s">
        <v>168</v>
      </c>
      <c r="D60" s="75"/>
      <c r="E60" s="74"/>
      <c r="F60" s="74"/>
      <c r="G60" s="74"/>
      <c r="H60" s="74"/>
      <c r="I60" s="96"/>
      <c r="J60" s="74"/>
      <c r="K60" s="61"/>
      <c r="L60" s="45"/>
      <c r="M60" s="74"/>
      <c r="N60" s="74"/>
      <c r="O60" s="74"/>
      <c r="P60" s="74"/>
      <c r="Q60" s="75"/>
      <c r="R60" s="74"/>
    </row>
    <row r="61" spans="1:18" s="100" customFormat="1" ht="13.5" customHeight="1" x14ac:dyDescent="0.2">
      <c r="A61" s="122">
        <v>11</v>
      </c>
      <c r="B61" s="123" t="s">
        <v>150</v>
      </c>
      <c r="C61" s="124" t="s">
        <v>151</v>
      </c>
      <c r="D61" s="123" t="s">
        <v>169</v>
      </c>
      <c r="E61" s="125">
        <f>13*2*2.42/1000</f>
        <v>6.2920000000000004E-2</v>
      </c>
      <c r="F61" s="125">
        <f>H61+J61+R61</f>
        <v>61.966432393839995</v>
      </c>
      <c r="G61" s="125">
        <v>16.899999999999999</v>
      </c>
      <c r="H61" s="125">
        <f t="shared" ref="H61" si="22">G61*$P$8/1000</f>
        <v>39.86202999999999</v>
      </c>
      <c r="I61" s="144">
        <v>0.6</v>
      </c>
      <c r="J61" s="125">
        <f t="shared" ref="J61" si="23">I61*$P$9/1000</f>
        <v>1.8821219999999999</v>
      </c>
      <c r="K61" s="83"/>
      <c r="L61" s="89"/>
      <c r="M61" s="89"/>
      <c r="N61" s="84"/>
      <c r="O61" s="74"/>
      <c r="P61" s="125">
        <f t="shared" ref="P61" si="24">E61*F61</f>
        <v>3.8989279262204128</v>
      </c>
      <c r="Q61" s="125">
        <f t="shared" ref="Q61" si="25">O61+O62+O63+O64</f>
        <v>17.546399999999998</v>
      </c>
      <c r="R61" s="125">
        <f t="shared" ref="R61" si="26">Q61*1.02*1.05*$R$14</f>
        <v>20.222280393840002</v>
      </c>
    </row>
    <row r="62" spans="1:18" s="100" customFormat="1" ht="13.5" customHeight="1" x14ac:dyDescent="0.2">
      <c r="A62" s="122"/>
      <c r="B62" s="123"/>
      <c r="C62" s="124"/>
      <c r="D62" s="123"/>
      <c r="E62" s="125"/>
      <c r="F62" s="125"/>
      <c r="G62" s="125"/>
      <c r="H62" s="125"/>
      <c r="I62" s="145"/>
      <c r="J62" s="125"/>
      <c r="K62" s="83" t="s">
        <v>152</v>
      </c>
      <c r="L62" s="89" t="s">
        <v>12</v>
      </c>
      <c r="M62" s="89">
        <v>26</v>
      </c>
      <c r="N62" s="74">
        <v>0.25</v>
      </c>
      <c r="O62" s="74">
        <f t="shared" ref="O62:O63" si="27">M62*N62</f>
        <v>6.5</v>
      </c>
      <c r="P62" s="125"/>
      <c r="Q62" s="122"/>
      <c r="R62" s="125"/>
    </row>
    <row r="63" spans="1:18" s="100" customFormat="1" ht="26.25" customHeight="1" x14ac:dyDescent="0.2">
      <c r="A63" s="122"/>
      <c r="B63" s="123"/>
      <c r="C63" s="124"/>
      <c r="D63" s="123"/>
      <c r="E63" s="125"/>
      <c r="F63" s="125"/>
      <c r="G63" s="125"/>
      <c r="H63" s="125"/>
      <c r="I63" s="145"/>
      <c r="J63" s="125"/>
      <c r="K63" s="85" t="s">
        <v>153</v>
      </c>
      <c r="L63" s="89" t="s">
        <v>12</v>
      </c>
      <c r="M63" s="89">
        <v>12.8</v>
      </c>
      <c r="N63" s="74">
        <v>0.86299999999999999</v>
      </c>
      <c r="O63" s="74">
        <f t="shared" si="27"/>
        <v>11.0464</v>
      </c>
      <c r="P63" s="125"/>
      <c r="Q63" s="122"/>
      <c r="R63" s="125"/>
    </row>
    <row r="64" spans="1:18" s="100" customFormat="1" ht="17.25" customHeight="1" x14ac:dyDescent="0.2">
      <c r="A64" s="122"/>
      <c r="B64" s="123"/>
      <c r="C64" s="124"/>
      <c r="D64" s="123"/>
      <c r="E64" s="125"/>
      <c r="F64" s="125"/>
      <c r="G64" s="125"/>
      <c r="H64" s="125"/>
      <c r="I64" s="146"/>
      <c r="J64" s="125"/>
      <c r="K64" s="77"/>
      <c r="L64" s="75"/>
      <c r="M64" s="75"/>
      <c r="N64" s="75"/>
      <c r="O64" s="75"/>
      <c r="P64" s="125"/>
      <c r="Q64" s="122"/>
      <c r="R64" s="125"/>
    </row>
    <row r="65" spans="1:18" s="101" customFormat="1" ht="12.75" customHeight="1" x14ac:dyDescent="0.2">
      <c r="A65" s="148">
        <v>12</v>
      </c>
      <c r="B65" s="149" t="s">
        <v>160</v>
      </c>
      <c r="C65" s="152" t="s">
        <v>161</v>
      </c>
      <c r="D65" s="155" t="s">
        <v>129</v>
      </c>
      <c r="E65" s="158">
        <f>0.2*0.2*0.1*13</f>
        <v>5.2000000000000011E-2</v>
      </c>
      <c r="F65" s="125">
        <f t="shared" ref="F65" si="28">H65+J65+R65</f>
        <v>7.0120412005499997</v>
      </c>
      <c r="G65" s="161">
        <v>0.11</v>
      </c>
      <c r="H65" s="125">
        <f t="shared" ref="H65" si="29">G65*$P$8/1000</f>
        <v>0.25945699999999999</v>
      </c>
      <c r="I65" s="161">
        <v>0.76</v>
      </c>
      <c r="J65" s="125">
        <f t="shared" ref="J65" si="30">I65*$P$9/1000</f>
        <v>2.3840212000000003</v>
      </c>
      <c r="K65" s="90" t="s">
        <v>162</v>
      </c>
      <c r="L65" s="91" t="s">
        <v>163</v>
      </c>
      <c r="M65" s="91">
        <v>7.0000000000000007E-2</v>
      </c>
      <c r="N65" s="92">
        <v>0.15</v>
      </c>
      <c r="O65" s="92">
        <f>M65*N65</f>
        <v>1.0500000000000001E-2</v>
      </c>
      <c r="P65" s="125">
        <f t="shared" ref="P65" si="31">E65*F65</f>
        <v>0.36462614242860009</v>
      </c>
      <c r="Q65" s="125">
        <f t="shared" ref="Q65" si="32">O65+O66+O67+O68</f>
        <v>3.7905000000000002</v>
      </c>
      <c r="R65" s="125">
        <f t="shared" ref="R65" si="33">Q65*1.02*1.05*$R$14</f>
        <v>4.36856300055</v>
      </c>
    </row>
    <row r="66" spans="1:18" s="101" customFormat="1" ht="12.75" customHeight="1" x14ac:dyDescent="0.2">
      <c r="A66" s="148"/>
      <c r="B66" s="150"/>
      <c r="C66" s="153"/>
      <c r="D66" s="156"/>
      <c r="E66" s="159"/>
      <c r="F66" s="125"/>
      <c r="G66" s="161"/>
      <c r="H66" s="125"/>
      <c r="I66" s="161"/>
      <c r="J66" s="125"/>
      <c r="K66" s="90" t="s">
        <v>164</v>
      </c>
      <c r="L66" s="91" t="s">
        <v>163</v>
      </c>
      <c r="M66" s="91">
        <v>1.26</v>
      </c>
      <c r="N66" s="92">
        <v>3</v>
      </c>
      <c r="O66" s="92">
        <f t="shared" ref="O66" si="34">M66*N66</f>
        <v>3.7800000000000002</v>
      </c>
      <c r="P66" s="125"/>
      <c r="Q66" s="122"/>
      <c r="R66" s="125"/>
    </row>
    <row r="67" spans="1:18" s="101" customFormat="1" ht="12.75" customHeight="1" x14ac:dyDescent="0.2">
      <c r="A67" s="148"/>
      <c r="B67" s="150"/>
      <c r="C67" s="153"/>
      <c r="D67" s="156"/>
      <c r="E67" s="159"/>
      <c r="F67" s="125"/>
      <c r="G67" s="161"/>
      <c r="H67" s="125"/>
      <c r="I67" s="161"/>
      <c r="J67" s="125"/>
      <c r="K67" s="90"/>
      <c r="L67" s="91"/>
      <c r="M67" s="91"/>
      <c r="N67" s="92"/>
      <c r="O67" s="92"/>
      <c r="P67" s="125"/>
      <c r="Q67" s="122"/>
      <c r="R67" s="125"/>
    </row>
    <row r="68" spans="1:18" s="101" customFormat="1" ht="12.75" customHeight="1" x14ac:dyDescent="0.2">
      <c r="A68" s="148"/>
      <c r="B68" s="151"/>
      <c r="C68" s="154"/>
      <c r="D68" s="157"/>
      <c r="E68" s="160"/>
      <c r="F68" s="125"/>
      <c r="G68" s="161"/>
      <c r="H68" s="125"/>
      <c r="I68" s="161"/>
      <c r="J68" s="125"/>
      <c r="K68" s="90"/>
      <c r="L68" s="91"/>
      <c r="M68" s="91"/>
      <c r="N68" s="92"/>
      <c r="O68" s="92"/>
      <c r="P68" s="125"/>
      <c r="Q68" s="122"/>
      <c r="R68" s="125"/>
    </row>
    <row r="69" spans="1:18" s="100" customFormat="1" ht="13.5" customHeight="1" x14ac:dyDescent="0.2">
      <c r="A69" s="122">
        <v>13</v>
      </c>
      <c r="B69" s="162" t="s">
        <v>165</v>
      </c>
      <c r="C69" s="163" t="s">
        <v>167</v>
      </c>
      <c r="D69" s="164" t="s">
        <v>129</v>
      </c>
      <c r="E69" s="165">
        <f>13*0.2*0.2*0.8</f>
        <v>0.41600000000000004</v>
      </c>
      <c r="F69" s="125">
        <f t="shared" ref="F69" si="35">H69+J69+R69</f>
        <v>40.591864737504004</v>
      </c>
      <c r="G69" s="165">
        <v>1.55</v>
      </c>
      <c r="H69" s="125">
        <f t="shared" ref="H69" si="36">G69*$P$8/1000</f>
        <v>3.6559849999999998</v>
      </c>
      <c r="I69" s="165">
        <v>0.76</v>
      </c>
      <c r="J69" s="125">
        <f t="shared" ref="J69" si="37">I69*$P$9/1000</f>
        <v>2.3840212000000003</v>
      </c>
      <c r="K69" s="94" t="s">
        <v>166</v>
      </c>
      <c r="L69" s="95" t="s">
        <v>163</v>
      </c>
      <c r="M69" s="95">
        <v>1.02</v>
      </c>
      <c r="N69" s="92">
        <v>29.391999999999999</v>
      </c>
      <c r="O69" s="92">
        <f>M69*N69</f>
        <v>29.979839999999999</v>
      </c>
      <c r="P69" s="125">
        <f t="shared" ref="P69" si="38">E69*F69</f>
        <v>16.886215730801666</v>
      </c>
      <c r="Q69" s="125">
        <f t="shared" ref="Q69" si="39">O69+O70+O71+O72</f>
        <v>29.979839999999999</v>
      </c>
      <c r="R69" s="125">
        <f t="shared" ref="R69" si="40">Q69*1.02*1.05*$R$14</f>
        <v>34.551858537504003</v>
      </c>
    </row>
    <row r="70" spans="1:18" s="100" customFormat="1" ht="13.5" customHeight="1" x14ac:dyDescent="0.2">
      <c r="A70" s="122"/>
      <c r="B70" s="162"/>
      <c r="C70" s="163"/>
      <c r="D70" s="164"/>
      <c r="E70" s="165"/>
      <c r="F70" s="125"/>
      <c r="G70" s="165"/>
      <c r="H70" s="125"/>
      <c r="I70" s="165"/>
      <c r="J70" s="125"/>
      <c r="K70" s="94"/>
      <c r="L70" s="95"/>
      <c r="M70" s="95"/>
      <c r="N70" s="92"/>
      <c r="O70" s="92"/>
      <c r="P70" s="125"/>
      <c r="Q70" s="122"/>
      <c r="R70" s="125"/>
    </row>
    <row r="71" spans="1:18" s="100" customFormat="1" ht="13.5" customHeight="1" x14ac:dyDescent="0.2">
      <c r="A71" s="122"/>
      <c r="B71" s="162"/>
      <c r="C71" s="163"/>
      <c r="D71" s="164"/>
      <c r="E71" s="165"/>
      <c r="F71" s="125"/>
      <c r="G71" s="165"/>
      <c r="H71" s="125"/>
      <c r="I71" s="165"/>
      <c r="J71" s="125"/>
      <c r="K71" s="94"/>
      <c r="L71" s="95"/>
      <c r="M71" s="95"/>
      <c r="N71" s="92"/>
      <c r="O71" s="92"/>
      <c r="P71" s="125"/>
      <c r="Q71" s="122"/>
      <c r="R71" s="125"/>
    </row>
    <row r="72" spans="1:18" s="100" customFormat="1" ht="12" customHeight="1" x14ac:dyDescent="0.2">
      <c r="A72" s="122"/>
      <c r="B72" s="162"/>
      <c r="C72" s="163"/>
      <c r="D72" s="164"/>
      <c r="E72" s="165"/>
      <c r="F72" s="125"/>
      <c r="G72" s="165"/>
      <c r="H72" s="125"/>
      <c r="I72" s="165"/>
      <c r="J72" s="125"/>
      <c r="K72" s="94"/>
      <c r="L72" s="95"/>
      <c r="M72" s="95"/>
      <c r="N72" s="92"/>
      <c r="O72" s="92"/>
      <c r="P72" s="125"/>
      <c r="Q72" s="122"/>
      <c r="R72" s="125"/>
    </row>
    <row r="73" spans="1:18" s="100" customFormat="1" ht="13.5" customHeight="1" x14ac:dyDescent="0.2">
      <c r="A73" s="148">
        <v>14</v>
      </c>
      <c r="B73" s="123" t="s">
        <v>154</v>
      </c>
      <c r="C73" s="124" t="s">
        <v>172</v>
      </c>
      <c r="D73" s="123" t="s">
        <v>170</v>
      </c>
      <c r="E73" s="125">
        <v>13</v>
      </c>
      <c r="F73" s="125">
        <f t="shared" ref="F73" si="41">H73+J73+R73</f>
        <v>1.9154601521999999</v>
      </c>
      <c r="G73" s="125">
        <v>0</v>
      </c>
      <c r="H73" s="125">
        <f t="shared" ref="H73:H81" si="42">G73*$P$8/1000</f>
        <v>0</v>
      </c>
      <c r="I73" s="144">
        <v>0</v>
      </c>
      <c r="J73" s="125">
        <f t="shared" ref="J73:J81" si="43">I73*$P$9/1000</f>
        <v>0</v>
      </c>
      <c r="K73" s="83" t="s">
        <v>171</v>
      </c>
      <c r="L73" s="89" t="s">
        <v>117</v>
      </c>
      <c r="M73" s="86">
        <v>2</v>
      </c>
      <c r="N73" s="84">
        <v>0.83099999999999996</v>
      </c>
      <c r="O73" s="74">
        <f>M73*N73</f>
        <v>1.6619999999999999</v>
      </c>
      <c r="P73" s="125">
        <f t="shared" ref="P73" si="44">E73*F73</f>
        <v>24.900981978599997</v>
      </c>
      <c r="Q73" s="125">
        <f t="shared" ref="Q73" si="45">O73+O74+O75+O76</f>
        <v>1.6619999999999999</v>
      </c>
      <c r="R73" s="125">
        <f t="shared" ref="R73" si="46">Q73*1.02*1.05*$R$14</f>
        <v>1.9154601521999999</v>
      </c>
    </row>
    <row r="74" spans="1:18" s="100" customFormat="1" ht="13.5" customHeight="1" x14ac:dyDescent="0.2">
      <c r="A74" s="148"/>
      <c r="B74" s="123"/>
      <c r="C74" s="124"/>
      <c r="D74" s="123"/>
      <c r="E74" s="125"/>
      <c r="F74" s="125"/>
      <c r="G74" s="125"/>
      <c r="H74" s="125"/>
      <c r="I74" s="145"/>
      <c r="J74" s="125"/>
      <c r="K74" s="83"/>
      <c r="L74" s="89"/>
      <c r="M74" s="89"/>
      <c r="N74" s="75"/>
      <c r="O74" s="74"/>
      <c r="P74" s="125"/>
      <c r="Q74" s="122"/>
      <c r="R74" s="125"/>
    </row>
    <row r="75" spans="1:18" s="100" customFormat="1" ht="26.25" customHeight="1" x14ac:dyDescent="0.2">
      <c r="A75" s="148"/>
      <c r="B75" s="123"/>
      <c r="C75" s="124"/>
      <c r="D75" s="123"/>
      <c r="E75" s="125"/>
      <c r="F75" s="125"/>
      <c r="G75" s="125"/>
      <c r="H75" s="125"/>
      <c r="I75" s="145"/>
      <c r="J75" s="125"/>
      <c r="K75" s="83"/>
      <c r="L75" s="89"/>
      <c r="M75" s="89"/>
      <c r="N75" s="74"/>
      <c r="O75" s="74"/>
      <c r="P75" s="125"/>
      <c r="Q75" s="122"/>
      <c r="R75" s="125"/>
    </row>
    <row r="76" spans="1:18" s="100" customFormat="1" ht="6" customHeight="1" x14ac:dyDescent="0.2">
      <c r="A76" s="148"/>
      <c r="B76" s="123"/>
      <c r="C76" s="124"/>
      <c r="D76" s="123"/>
      <c r="E76" s="125"/>
      <c r="F76" s="125"/>
      <c r="G76" s="125"/>
      <c r="H76" s="125"/>
      <c r="I76" s="146"/>
      <c r="J76" s="125"/>
      <c r="K76" s="77"/>
      <c r="L76" s="75"/>
      <c r="M76" s="75"/>
      <c r="N76" s="75"/>
      <c r="O76" s="75"/>
      <c r="P76" s="125"/>
      <c r="Q76" s="122"/>
      <c r="R76" s="125"/>
    </row>
    <row r="77" spans="1:18" s="100" customFormat="1" ht="13.5" customHeight="1" x14ac:dyDescent="0.2">
      <c r="A77" s="122">
        <v>15</v>
      </c>
      <c r="B77" s="123" t="s">
        <v>154</v>
      </c>
      <c r="C77" s="124" t="s">
        <v>173</v>
      </c>
      <c r="D77" s="123" t="s">
        <v>119</v>
      </c>
      <c r="E77" s="125">
        <v>36</v>
      </c>
      <c r="F77" s="125">
        <f t="shared" ref="F77" si="47">H77+J77+R77</f>
        <v>0.48059379270000008</v>
      </c>
      <c r="G77" s="125">
        <v>0</v>
      </c>
      <c r="H77" s="125">
        <f t="shared" si="42"/>
        <v>0</v>
      </c>
      <c r="I77" s="144">
        <v>0</v>
      </c>
      <c r="J77" s="125">
        <f t="shared" si="43"/>
        <v>0</v>
      </c>
      <c r="K77" s="83" t="s">
        <v>141</v>
      </c>
      <c r="L77" s="89" t="s">
        <v>155</v>
      </c>
      <c r="M77" s="86">
        <v>1</v>
      </c>
      <c r="N77" s="84">
        <v>0.41699999999999998</v>
      </c>
      <c r="O77" s="74">
        <f>M77*N77</f>
        <v>0.41699999999999998</v>
      </c>
      <c r="P77" s="125">
        <f t="shared" ref="P77" si="48">E77*F77</f>
        <v>17.301376537200003</v>
      </c>
      <c r="Q77" s="125">
        <f t="shared" ref="Q77" si="49">O77+O78+O79+O80</f>
        <v>0.41699999999999998</v>
      </c>
      <c r="R77" s="125">
        <f t="shared" ref="R77" si="50">Q77*1.02*1.05*$R$14</f>
        <v>0.48059379270000008</v>
      </c>
    </row>
    <row r="78" spans="1:18" s="100" customFormat="1" ht="13.5" customHeight="1" x14ac:dyDescent="0.2">
      <c r="A78" s="122"/>
      <c r="B78" s="123"/>
      <c r="C78" s="124"/>
      <c r="D78" s="123"/>
      <c r="E78" s="125"/>
      <c r="F78" s="125"/>
      <c r="G78" s="125"/>
      <c r="H78" s="125"/>
      <c r="I78" s="145"/>
      <c r="J78" s="125"/>
      <c r="K78" s="83"/>
      <c r="L78" s="89"/>
      <c r="M78" s="89"/>
      <c r="N78" s="75"/>
      <c r="O78" s="74"/>
      <c r="P78" s="125"/>
      <c r="Q78" s="122"/>
      <c r="R78" s="125"/>
    </row>
    <row r="79" spans="1:18" s="100" customFormat="1" ht="26.25" customHeight="1" x14ac:dyDescent="0.2">
      <c r="A79" s="122"/>
      <c r="B79" s="123"/>
      <c r="C79" s="124"/>
      <c r="D79" s="123"/>
      <c r="E79" s="125"/>
      <c r="F79" s="125"/>
      <c r="G79" s="125"/>
      <c r="H79" s="125"/>
      <c r="I79" s="145"/>
      <c r="J79" s="125"/>
      <c r="K79" s="83"/>
      <c r="L79" s="89"/>
      <c r="M79" s="89"/>
      <c r="N79" s="74"/>
      <c r="O79" s="74"/>
      <c r="P79" s="125"/>
      <c r="Q79" s="122"/>
      <c r="R79" s="125"/>
    </row>
    <row r="80" spans="1:18" s="100" customFormat="1" ht="18" customHeight="1" x14ac:dyDescent="0.2">
      <c r="A80" s="122"/>
      <c r="B80" s="123"/>
      <c r="C80" s="124"/>
      <c r="D80" s="123"/>
      <c r="E80" s="125"/>
      <c r="F80" s="125"/>
      <c r="G80" s="125"/>
      <c r="H80" s="125"/>
      <c r="I80" s="146"/>
      <c r="J80" s="125"/>
      <c r="K80" s="77"/>
      <c r="L80" s="75"/>
      <c r="M80" s="75"/>
      <c r="N80" s="75"/>
      <c r="O80" s="75"/>
      <c r="P80" s="125"/>
      <c r="Q80" s="122"/>
      <c r="R80" s="125"/>
    </row>
    <row r="81" spans="1:18" s="100" customFormat="1" ht="13.5" customHeight="1" x14ac:dyDescent="0.2">
      <c r="A81" s="148">
        <v>16</v>
      </c>
      <c r="B81" s="123" t="s">
        <v>159</v>
      </c>
      <c r="C81" s="124" t="s">
        <v>174</v>
      </c>
      <c r="D81" s="123" t="s">
        <v>119</v>
      </c>
      <c r="E81" s="125">
        <f>0.16*1.5*E73</f>
        <v>3.12</v>
      </c>
      <c r="F81" s="125">
        <f t="shared" ref="F81" si="51">H81+J81+R81</f>
        <v>1.0347814280618999</v>
      </c>
      <c r="G81" s="125">
        <v>0.38400000000000001</v>
      </c>
      <c r="H81" s="125">
        <f t="shared" si="42"/>
        <v>0.9057407999999999</v>
      </c>
      <c r="I81" s="144">
        <v>2.9999999999999997E-4</v>
      </c>
      <c r="J81" s="125">
        <f t="shared" si="43"/>
        <v>9.4106099999999987E-4</v>
      </c>
      <c r="K81" s="83" t="s">
        <v>156</v>
      </c>
      <c r="L81" s="83" t="s">
        <v>12</v>
      </c>
      <c r="M81" s="87">
        <v>0.24399999999999999</v>
      </c>
      <c r="N81" s="88">
        <v>0.35799999999999998</v>
      </c>
      <c r="O81" s="74">
        <f>M81*N81</f>
        <v>8.7351999999999999E-2</v>
      </c>
      <c r="P81" s="125">
        <f t="shared" ref="P81" si="52">E81*F81</f>
        <v>3.2285180555531277</v>
      </c>
      <c r="Q81" s="125">
        <f t="shared" ref="Q81" si="53">O81+O82+O83+O84</f>
        <v>0.111149</v>
      </c>
      <c r="R81" s="125">
        <f t="shared" ref="R81" si="54">Q81*1.02*1.05*$R$14</f>
        <v>0.12809956706190001</v>
      </c>
    </row>
    <row r="82" spans="1:18" s="100" customFormat="1" ht="13.5" customHeight="1" x14ac:dyDescent="0.2">
      <c r="A82" s="148"/>
      <c r="B82" s="123"/>
      <c r="C82" s="124"/>
      <c r="D82" s="123"/>
      <c r="E82" s="125"/>
      <c r="F82" s="125"/>
      <c r="G82" s="125"/>
      <c r="H82" s="125"/>
      <c r="I82" s="145"/>
      <c r="J82" s="125"/>
      <c r="K82" s="83" t="s">
        <v>157</v>
      </c>
      <c r="L82" s="83" t="s">
        <v>12</v>
      </c>
      <c r="M82" s="87">
        <v>2.7E-2</v>
      </c>
      <c r="N82" s="88">
        <v>0.83299999999999996</v>
      </c>
      <c r="O82" s="74">
        <f t="shared" ref="O82:O83" si="55">M82*N82</f>
        <v>2.2490999999999997E-2</v>
      </c>
      <c r="P82" s="125"/>
      <c r="Q82" s="122"/>
      <c r="R82" s="125"/>
    </row>
    <row r="83" spans="1:18" s="100" customFormat="1" ht="24" customHeight="1" x14ac:dyDescent="0.2">
      <c r="A83" s="148"/>
      <c r="B83" s="123"/>
      <c r="C83" s="124"/>
      <c r="D83" s="123"/>
      <c r="E83" s="125"/>
      <c r="F83" s="125"/>
      <c r="G83" s="125"/>
      <c r="H83" s="125"/>
      <c r="I83" s="145"/>
      <c r="J83" s="125"/>
      <c r="K83" s="83" t="s">
        <v>158</v>
      </c>
      <c r="L83" s="83" t="s">
        <v>12</v>
      </c>
      <c r="M83" s="87">
        <v>2E-3</v>
      </c>
      <c r="N83" s="88">
        <v>0.65300000000000002</v>
      </c>
      <c r="O83" s="74">
        <f t="shared" si="55"/>
        <v>1.3060000000000001E-3</v>
      </c>
      <c r="P83" s="125"/>
      <c r="Q83" s="122"/>
      <c r="R83" s="125"/>
    </row>
    <row r="84" spans="1:18" s="100" customFormat="1" ht="15" customHeight="1" x14ac:dyDescent="0.2">
      <c r="A84" s="148"/>
      <c r="B84" s="123"/>
      <c r="C84" s="124"/>
      <c r="D84" s="123"/>
      <c r="E84" s="125"/>
      <c r="F84" s="125"/>
      <c r="G84" s="125"/>
      <c r="H84" s="125"/>
      <c r="I84" s="146"/>
      <c r="J84" s="125"/>
      <c r="K84" s="77"/>
      <c r="L84" s="75"/>
      <c r="M84" s="75"/>
      <c r="N84" s="75"/>
      <c r="O84" s="75"/>
      <c r="P84" s="125"/>
      <c r="Q84" s="122"/>
      <c r="R84" s="125"/>
    </row>
    <row r="86" spans="1:18" x14ac:dyDescent="0.2">
      <c r="C86" s="36" t="s">
        <v>21</v>
      </c>
      <c r="P86" s="46">
        <f>SUM(P19:P85)</f>
        <v>9237.0518410034947</v>
      </c>
      <c r="R86" s="47"/>
    </row>
    <row r="87" spans="1:18" x14ac:dyDescent="0.2">
      <c r="C87" s="36" t="s">
        <v>43</v>
      </c>
      <c r="P87" s="48">
        <f>P86*13.3%</f>
        <v>1228.5278948534649</v>
      </c>
      <c r="R87" s="47"/>
    </row>
    <row r="88" spans="1:18" x14ac:dyDescent="0.2">
      <c r="C88" s="36" t="s">
        <v>21</v>
      </c>
      <c r="P88" s="49">
        <f>P86+P87</f>
        <v>10465.57973585696</v>
      </c>
      <c r="R88" s="47"/>
    </row>
    <row r="89" spans="1:18" x14ac:dyDescent="0.2">
      <c r="C89" s="36" t="s">
        <v>44</v>
      </c>
      <c r="P89" s="48">
        <f>P88*11%</f>
        <v>1151.2137709442657</v>
      </c>
      <c r="R89" s="47"/>
    </row>
    <row r="90" spans="1:18" x14ac:dyDescent="0.2">
      <c r="C90" s="36" t="s">
        <v>21</v>
      </c>
      <c r="P90" s="49">
        <f>P89+P88</f>
        <v>11616.793506801225</v>
      </c>
      <c r="R90" s="47"/>
    </row>
    <row r="94" spans="1:18" ht="18" x14ac:dyDescent="0.25">
      <c r="C94" s="126" t="s">
        <v>48</v>
      </c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</row>
    <row r="98" spans="2:3" x14ac:dyDescent="0.2">
      <c r="B98" s="36"/>
      <c r="C98" s="47"/>
    </row>
    <row r="100" spans="2:3" x14ac:dyDescent="0.2">
      <c r="B100" s="36"/>
      <c r="C100" s="47"/>
    </row>
  </sheetData>
  <mergeCells count="234">
    <mergeCell ref="H65:H68"/>
    <mergeCell ref="I65:I68"/>
    <mergeCell ref="J65:J68"/>
    <mergeCell ref="P65:P68"/>
    <mergeCell ref="Q65:Q68"/>
    <mergeCell ref="R65:R68"/>
    <mergeCell ref="A69:A72"/>
    <mergeCell ref="B69:B72"/>
    <mergeCell ref="C69:C72"/>
    <mergeCell ref="D69:D72"/>
    <mergeCell ref="E69:E72"/>
    <mergeCell ref="F69:F72"/>
    <mergeCell ref="G69:G72"/>
    <mergeCell ref="H69:H72"/>
    <mergeCell ref="I69:I72"/>
    <mergeCell ref="J69:J72"/>
    <mergeCell ref="P69:P72"/>
    <mergeCell ref="Q69:Q72"/>
    <mergeCell ref="R69:R72"/>
    <mergeCell ref="F65:F68"/>
    <mergeCell ref="G65:G68"/>
    <mergeCell ref="J77:J80"/>
    <mergeCell ref="P77:P80"/>
    <mergeCell ref="Q77:Q80"/>
    <mergeCell ref="R77:R80"/>
    <mergeCell ref="A81:A84"/>
    <mergeCell ref="B81:B84"/>
    <mergeCell ref="C81:C84"/>
    <mergeCell ref="D81:D84"/>
    <mergeCell ref="E81:E84"/>
    <mergeCell ref="F81:F84"/>
    <mergeCell ref="G81:G84"/>
    <mergeCell ref="H81:H84"/>
    <mergeCell ref="I81:I84"/>
    <mergeCell ref="J81:J84"/>
    <mergeCell ref="P81:P84"/>
    <mergeCell ref="Q81:Q84"/>
    <mergeCell ref="R81:R84"/>
    <mergeCell ref="A77:A80"/>
    <mergeCell ref="B77:B80"/>
    <mergeCell ref="C77:C80"/>
    <mergeCell ref="D77:D80"/>
    <mergeCell ref="E77:E80"/>
    <mergeCell ref="F77:F80"/>
    <mergeCell ref="G77:G80"/>
    <mergeCell ref="H77:H80"/>
    <mergeCell ref="I77:I80"/>
    <mergeCell ref="J61:J64"/>
    <mergeCell ref="P61:P64"/>
    <mergeCell ref="Q61:Q64"/>
    <mergeCell ref="R61:R64"/>
    <mergeCell ref="A73:A76"/>
    <mergeCell ref="B73:B76"/>
    <mergeCell ref="C73:C76"/>
    <mergeCell ref="D73:D76"/>
    <mergeCell ref="E73:E76"/>
    <mergeCell ref="F73:F76"/>
    <mergeCell ref="G73:G76"/>
    <mergeCell ref="H73:H76"/>
    <mergeCell ref="I73:I76"/>
    <mergeCell ref="J73:J76"/>
    <mergeCell ref="P73:P76"/>
    <mergeCell ref="Q73:Q76"/>
    <mergeCell ref="R73:R76"/>
    <mergeCell ref="A65:A68"/>
    <mergeCell ref="B65:B68"/>
    <mergeCell ref="C65:C68"/>
    <mergeCell ref="D65:D68"/>
    <mergeCell ref="E65:E68"/>
    <mergeCell ref="G51:G54"/>
    <mergeCell ref="H51:H54"/>
    <mergeCell ref="I51:I54"/>
    <mergeCell ref="J51:J54"/>
    <mergeCell ref="P51:P54"/>
    <mergeCell ref="Q51:Q54"/>
    <mergeCell ref="R51:R54"/>
    <mergeCell ref="A61:A64"/>
    <mergeCell ref="B61:B64"/>
    <mergeCell ref="C61:C64"/>
    <mergeCell ref="D61:D64"/>
    <mergeCell ref="E61:E64"/>
    <mergeCell ref="F61:F64"/>
    <mergeCell ref="G61:G64"/>
    <mergeCell ref="H61:H64"/>
    <mergeCell ref="I61:I64"/>
    <mergeCell ref="A55:A59"/>
    <mergeCell ref="A51:A54"/>
    <mergeCell ref="B51:B54"/>
    <mergeCell ref="C51:C54"/>
    <mergeCell ref="D51:D54"/>
    <mergeCell ref="E51:E54"/>
    <mergeCell ref="F51:F54"/>
    <mergeCell ref="P55:P59"/>
    <mergeCell ref="H19:H22"/>
    <mergeCell ref="I19:I22"/>
    <mergeCell ref="J19:J22"/>
    <mergeCell ref="D27:D30"/>
    <mergeCell ref="E27:E30"/>
    <mergeCell ref="F27:F30"/>
    <mergeCell ref="G27:G30"/>
    <mergeCell ref="H27:H30"/>
    <mergeCell ref="I27:I30"/>
    <mergeCell ref="J27:J30"/>
    <mergeCell ref="H23:H26"/>
    <mergeCell ref="P19:P22"/>
    <mergeCell ref="Q19:Q22"/>
    <mergeCell ref="R19:R22"/>
    <mergeCell ref="A47:A50"/>
    <mergeCell ref="B47:B50"/>
    <mergeCell ref="C47:C50"/>
    <mergeCell ref="D47:D50"/>
    <mergeCell ref="E47:E50"/>
    <mergeCell ref="F47:F50"/>
    <mergeCell ref="G47:G50"/>
    <mergeCell ref="H47:H50"/>
    <mergeCell ref="I47:I50"/>
    <mergeCell ref="J47:J50"/>
    <mergeCell ref="P47:P50"/>
    <mergeCell ref="Q47:Q50"/>
    <mergeCell ref="R47:R50"/>
    <mergeCell ref="I23:I26"/>
    <mergeCell ref="J23:J26"/>
    <mergeCell ref="P23:P26"/>
    <mergeCell ref="Q23:Q26"/>
    <mergeCell ref="R23:R26"/>
    <mergeCell ref="A27:A30"/>
    <mergeCell ref="B27:B30"/>
    <mergeCell ref="C27:C30"/>
    <mergeCell ref="P27:P30"/>
    <mergeCell ref="Q27:Q30"/>
    <mergeCell ref="R27:R30"/>
    <mergeCell ref="H39:H42"/>
    <mergeCell ref="I39:I42"/>
    <mergeCell ref="J43:J46"/>
    <mergeCell ref="P43:P46"/>
    <mergeCell ref="Q43:Q46"/>
    <mergeCell ref="R43:R46"/>
    <mergeCell ref="J39:J42"/>
    <mergeCell ref="P39:P42"/>
    <mergeCell ref="Q39:Q42"/>
    <mergeCell ref="R39:R42"/>
    <mergeCell ref="J35:J38"/>
    <mergeCell ref="P35:P38"/>
    <mergeCell ref="Q35:Q38"/>
    <mergeCell ref="R35:R38"/>
    <mergeCell ref="J31:J34"/>
    <mergeCell ref="P31:P34"/>
    <mergeCell ref="Q31:Q34"/>
    <mergeCell ref="R31:R34"/>
    <mergeCell ref="B35:B38"/>
    <mergeCell ref="C35:C38"/>
    <mergeCell ref="D35:D38"/>
    <mergeCell ref="E35:E38"/>
    <mergeCell ref="F35:F38"/>
    <mergeCell ref="G35:G38"/>
    <mergeCell ref="H35:H38"/>
    <mergeCell ref="I35:I38"/>
    <mergeCell ref="A43:A46"/>
    <mergeCell ref="B43:B46"/>
    <mergeCell ref="C43:C46"/>
    <mergeCell ref="D43:D46"/>
    <mergeCell ref="E43:E46"/>
    <mergeCell ref="F43:F46"/>
    <mergeCell ref="G43:G46"/>
    <mergeCell ref="H43:H46"/>
    <mergeCell ref="I43:I46"/>
    <mergeCell ref="F12:F15"/>
    <mergeCell ref="A39:A42"/>
    <mergeCell ref="B39:B42"/>
    <mergeCell ref="C39:C42"/>
    <mergeCell ref="D39:D42"/>
    <mergeCell ref="E39:E42"/>
    <mergeCell ref="F39:F42"/>
    <mergeCell ref="G39:G42"/>
    <mergeCell ref="A18:C18"/>
    <mergeCell ref="A23:A26"/>
    <mergeCell ref="B23:B26"/>
    <mergeCell ref="C23:C26"/>
    <mergeCell ref="D23:D26"/>
    <mergeCell ref="E23:E26"/>
    <mergeCell ref="F23:F26"/>
    <mergeCell ref="G23:G26"/>
    <mergeCell ref="A19:A22"/>
    <mergeCell ref="B19:B22"/>
    <mergeCell ref="C19:C22"/>
    <mergeCell ref="D19:D22"/>
    <mergeCell ref="E19:E22"/>
    <mergeCell ref="F19:F22"/>
    <mergeCell ref="G19:G22"/>
    <mergeCell ref="A35:A38"/>
    <mergeCell ref="C94:P94"/>
    <mergeCell ref="D3:Q3"/>
    <mergeCell ref="C4:C5"/>
    <mergeCell ref="D4:P5"/>
    <mergeCell ref="A7:E7"/>
    <mergeCell ref="F7:R7"/>
    <mergeCell ref="I8:K8"/>
    <mergeCell ref="L8:O8"/>
    <mergeCell ref="A17:R17"/>
    <mergeCell ref="G12:O13"/>
    <mergeCell ref="P12:P14"/>
    <mergeCell ref="Q12:Q14"/>
    <mergeCell ref="G14:H14"/>
    <mergeCell ref="I14:J14"/>
    <mergeCell ref="K14:O14"/>
    <mergeCell ref="L9:O9"/>
    <mergeCell ref="C10:G10"/>
    <mergeCell ref="H10:I10"/>
    <mergeCell ref="L10:O10"/>
    <mergeCell ref="A12:A15"/>
    <mergeCell ref="B12:B15"/>
    <mergeCell ref="C12:C15"/>
    <mergeCell ref="D12:D15"/>
    <mergeCell ref="E12:E15"/>
    <mergeCell ref="Q55:Q59"/>
    <mergeCell ref="R55:R59"/>
    <mergeCell ref="B55:B59"/>
    <mergeCell ref="C55:C59"/>
    <mergeCell ref="D55:D59"/>
    <mergeCell ref="E55:E59"/>
    <mergeCell ref="F55:F59"/>
    <mergeCell ref="G55:G59"/>
    <mergeCell ref="H55:H59"/>
    <mergeCell ref="I55:I59"/>
    <mergeCell ref="J55:J59"/>
    <mergeCell ref="A31:A34"/>
    <mergeCell ref="B31:B34"/>
    <mergeCell ref="C31:C34"/>
    <mergeCell ref="D31:D34"/>
    <mergeCell ref="E31:E34"/>
    <mergeCell ref="F31:F34"/>
    <mergeCell ref="G31:G34"/>
    <mergeCell ref="H31:H34"/>
    <mergeCell ref="I31:I34"/>
  </mergeCells>
  <pageMargins left="1.299212598425197" right="0.70866141732283472" top="0.74803149606299213" bottom="0.74803149606299213" header="0.31496062992125984" footer="0.31496062992125984"/>
  <pageSetup paperSize="9" scale="60" fitToHeight="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9"/>
  <sheetViews>
    <sheetView view="pageBreakPreview" topLeftCell="A56" zoomScale="90" zoomScaleNormal="90" zoomScaleSheetLayoutView="90" workbookViewId="0">
      <selection activeCell="R44" sqref="R44"/>
    </sheetView>
  </sheetViews>
  <sheetFormatPr defaultRowHeight="12.75" x14ac:dyDescent="0.2"/>
  <cols>
    <col min="1" max="1" width="6.28515625" style="36" customWidth="1"/>
    <col min="2" max="2" width="8.28515625" style="37" customWidth="1"/>
    <col min="3" max="3" width="45" style="36" customWidth="1"/>
    <col min="4" max="4" width="8.28515625" style="37" customWidth="1"/>
    <col min="5" max="5" width="9.42578125" style="36" customWidth="1"/>
    <col min="6" max="6" width="8.140625" style="36" customWidth="1"/>
    <col min="7" max="7" width="15.140625" style="36" customWidth="1"/>
    <col min="8" max="9" width="9.140625" style="36"/>
    <col min="10" max="10" width="9.140625" style="47" hidden="1" customWidth="1"/>
    <col min="11" max="14" width="9.140625" style="36" hidden="1" customWidth="1"/>
    <col min="15" max="15" width="9.140625" style="36" customWidth="1"/>
    <col min="16" max="16384" width="9.140625" style="36"/>
  </cols>
  <sheetData>
    <row r="1" spans="1:14" x14ac:dyDescent="0.2">
      <c r="A1" s="166" t="s">
        <v>87</v>
      </c>
      <c r="B1" s="166"/>
      <c r="C1" s="166"/>
      <c r="D1" s="166"/>
      <c r="E1" s="166"/>
      <c r="F1" s="166"/>
      <c r="G1" s="166"/>
    </row>
    <row r="2" spans="1:14" x14ac:dyDescent="0.2">
      <c r="A2" s="166"/>
      <c r="B2" s="166"/>
      <c r="C2" s="166"/>
      <c r="D2" s="166"/>
      <c r="E2" s="166"/>
      <c r="F2" s="166"/>
      <c r="G2" s="166"/>
    </row>
    <row r="3" spans="1:14" x14ac:dyDescent="0.2">
      <c r="A3" s="166" t="str">
        <f>Տվյալներ!C9</f>
        <v>ՔԱՐԱԳԼՈՒԽ ԲՆԱԿԱՎԱՅՐԻ ԽՄԵԼՈՒ ՋՐԱԳԾԻ ԿԱՌՈՒՑՈՒՄ</v>
      </c>
      <c r="B3" s="166"/>
      <c r="C3" s="166"/>
      <c r="D3" s="166"/>
      <c r="E3" s="166"/>
      <c r="F3" s="166"/>
      <c r="G3" s="166"/>
    </row>
    <row r="4" spans="1:14" x14ac:dyDescent="0.2">
      <c r="A4" s="166"/>
      <c r="B4" s="166"/>
      <c r="C4" s="166"/>
      <c r="D4" s="166"/>
      <c r="E4" s="166"/>
      <c r="F4" s="166"/>
      <c r="G4" s="166"/>
    </row>
    <row r="6" spans="1:14" x14ac:dyDescent="0.2">
      <c r="A6" s="135" t="s">
        <v>0</v>
      </c>
      <c r="B6" s="137" t="s">
        <v>95</v>
      </c>
      <c r="C6" s="135" t="s">
        <v>90</v>
      </c>
      <c r="D6" s="137" t="s">
        <v>91</v>
      </c>
      <c r="E6" s="137" t="s">
        <v>92</v>
      </c>
      <c r="F6" s="137" t="s">
        <v>93</v>
      </c>
      <c r="G6" s="135" t="s">
        <v>94</v>
      </c>
      <c r="J6" s="47" t="s">
        <v>93</v>
      </c>
    </row>
    <row r="7" spans="1:14" x14ac:dyDescent="0.2">
      <c r="A7" s="135"/>
      <c r="B7" s="137"/>
      <c r="C7" s="135"/>
      <c r="D7" s="137"/>
      <c r="E7" s="137"/>
      <c r="F7" s="137"/>
      <c r="G7" s="135"/>
    </row>
    <row r="8" spans="1:14" x14ac:dyDescent="0.2">
      <c r="A8" s="135"/>
      <c r="B8" s="137"/>
      <c r="C8" s="135"/>
      <c r="D8" s="137"/>
      <c r="E8" s="137"/>
      <c r="F8" s="137"/>
      <c r="G8" s="135"/>
    </row>
    <row r="9" spans="1:14" ht="21" x14ac:dyDescent="0.2">
      <c r="A9" s="135"/>
      <c r="B9" s="137"/>
      <c r="C9" s="135"/>
      <c r="D9" s="137"/>
      <c r="E9" s="137"/>
      <c r="F9" s="137"/>
      <c r="G9" s="50" t="s">
        <v>111</v>
      </c>
      <c r="H9" s="40"/>
    </row>
    <row r="10" spans="1:14" x14ac:dyDescent="0.2">
      <c r="A10" s="45">
        <v>1</v>
      </c>
      <c r="B10" s="45">
        <v>2</v>
      </c>
      <c r="C10" s="45">
        <v>3</v>
      </c>
      <c r="D10" s="45">
        <v>4</v>
      </c>
      <c r="E10" s="45">
        <v>5</v>
      </c>
      <c r="F10" s="45">
        <v>6</v>
      </c>
      <c r="G10" s="45">
        <v>7</v>
      </c>
      <c r="J10" s="47">
        <v>6</v>
      </c>
    </row>
    <row r="11" spans="1:14" ht="15" x14ac:dyDescent="0.2">
      <c r="A11" s="132"/>
      <c r="B11" s="133"/>
      <c r="C11" s="133"/>
      <c r="D11" s="133"/>
      <c r="E11" s="133"/>
      <c r="F11" s="133"/>
      <c r="G11" s="133"/>
    </row>
    <row r="12" spans="1:14" x14ac:dyDescent="0.2">
      <c r="A12" s="54"/>
      <c r="B12" s="72"/>
      <c r="C12" s="59" t="str">
        <f>Նախահաշիվ!A18</f>
        <v>ՄԵՏԱՂԵ ԽՈՂՈՎԱԿ Ф127*4մմ</v>
      </c>
      <c r="D12" s="59" t="str">
        <f>Նախահաշիվ!D18</f>
        <v xml:space="preserve">գմ/пм </v>
      </c>
      <c r="E12" s="59">
        <f>Նախահաշիվ!E18</f>
        <v>1500</v>
      </c>
      <c r="F12" s="52"/>
      <c r="G12" s="52"/>
      <c r="K12" s="36">
        <f t="shared" ref="K12:K48" si="0">J12*13.3%</f>
        <v>0</v>
      </c>
      <c r="L12" s="47">
        <f t="shared" ref="L12:L48" si="1">J12+K12</f>
        <v>0</v>
      </c>
      <c r="M12" s="36">
        <f t="shared" ref="M12:M48" si="2">L12*11%</f>
        <v>0</v>
      </c>
      <c r="N12" s="47">
        <f t="shared" ref="N12:N48" si="3">SUM(L12:M12)</f>
        <v>0</v>
      </c>
    </row>
    <row r="13" spans="1:14" s="63" customFormat="1" ht="14.25" customHeight="1" x14ac:dyDescent="0.2">
      <c r="A13" s="122">
        <f>Նախահաշիվ!A19</f>
        <v>1</v>
      </c>
      <c r="B13" s="123" t="str">
        <f>Նախահաշիվ!B19</f>
        <v>E1-57</v>
      </c>
      <c r="C13" s="124" t="str">
        <f>Նախահաշիվ!C19</f>
        <v xml:space="preserve">Բնահողի մշակումը 3-րդ կարգի գրունտներում էքսկավատորով, կողլիցք Обработка грунтах 3 класса экскаватором                                                          </v>
      </c>
      <c r="D13" s="123" t="str">
        <f>Նախահաշիվ!D19</f>
        <v xml:space="preserve">մ3/м3 </v>
      </c>
      <c r="E13" s="125">
        <f>Նախահաշիվ!E19</f>
        <v>90</v>
      </c>
      <c r="F13" s="125">
        <f>N13</f>
        <v>0.63902715417977696</v>
      </c>
      <c r="G13" s="125">
        <f>E13*F13</f>
        <v>57.51244387617993</v>
      </c>
      <c r="J13" s="64">
        <v>0.50812015789999998</v>
      </c>
      <c r="K13" s="36">
        <f t="shared" si="0"/>
        <v>6.7579981000700007E-2</v>
      </c>
      <c r="L13" s="47">
        <f t="shared" si="1"/>
        <v>0.57570013890069993</v>
      </c>
      <c r="M13" s="36">
        <f t="shared" si="2"/>
        <v>6.3327015279076998E-2</v>
      </c>
      <c r="N13" s="47">
        <f t="shared" si="3"/>
        <v>0.63902715417977696</v>
      </c>
    </row>
    <row r="14" spans="1:14" s="63" customFormat="1" ht="14.25" x14ac:dyDescent="0.2">
      <c r="A14" s="122"/>
      <c r="B14" s="123"/>
      <c r="C14" s="124"/>
      <c r="D14" s="123"/>
      <c r="E14" s="125"/>
      <c r="F14" s="125"/>
      <c r="G14" s="125"/>
      <c r="J14" s="64"/>
      <c r="K14" s="36">
        <f t="shared" si="0"/>
        <v>0</v>
      </c>
      <c r="L14" s="47">
        <f t="shared" si="1"/>
        <v>0</v>
      </c>
      <c r="M14" s="36">
        <f t="shared" si="2"/>
        <v>0</v>
      </c>
      <c r="N14" s="47">
        <f t="shared" si="3"/>
        <v>0</v>
      </c>
    </row>
    <row r="15" spans="1:14" s="63" customFormat="1" ht="14.25" x14ac:dyDescent="0.2">
      <c r="A15" s="122"/>
      <c r="B15" s="123"/>
      <c r="C15" s="124"/>
      <c r="D15" s="123"/>
      <c r="E15" s="125"/>
      <c r="F15" s="125"/>
      <c r="G15" s="125"/>
      <c r="J15" s="64"/>
      <c r="K15" s="36">
        <f t="shared" si="0"/>
        <v>0</v>
      </c>
      <c r="L15" s="47">
        <f t="shared" si="1"/>
        <v>0</v>
      </c>
      <c r="M15" s="36">
        <f t="shared" si="2"/>
        <v>0</v>
      </c>
      <c r="N15" s="47">
        <f t="shared" si="3"/>
        <v>0</v>
      </c>
    </row>
    <row r="16" spans="1:14" s="63" customFormat="1" ht="14.25" x14ac:dyDescent="0.2">
      <c r="A16" s="122"/>
      <c r="B16" s="123"/>
      <c r="C16" s="124"/>
      <c r="D16" s="123"/>
      <c r="E16" s="125"/>
      <c r="F16" s="125"/>
      <c r="G16" s="125"/>
      <c r="J16" s="64"/>
      <c r="K16" s="36">
        <f t="shared" si="0"/>
        <v>0</v>
      </c>
      <c r="L16" s="47">
        <f t="shared" si="1"/>
        <v>0</v>
      </c>
      <c r="M16" s="36">
        <f t="shared" si="2"/>
        <v>0</v>
      </c>
      <c r="N16" s="47">
        <f t="shared" si="3"/>
        <v>0</v>
      </c>
    </row>
    <row r="17" spans="1:14" s="63" customFormat="1" ht="14.25" customHeight="1" x14ac:dyDescent="0.2">
      <c r="A17" s="122">
        <f>Նախահաշիվ!A23</f>
        <v>2</v>
      </c>
      <c r="B17" s="123" t="str">
        <f>Նախահաշիվ!B23</f>
        <v>E1--58</v>
      </c>
      <c r="C17" s="124" t="str">
        <f>Նախահաշիվ!C23</f>
        <v>Բնահողի մշակումը  4 կարգի գրունտներում Обработка почвы на почвах 4 класса</v>
      </c>
      <c r="D17" s="123" t="str">
        <f>Նախահաշիվ!D23</f>
        <v>մ3/м3</v>
      </c>
      <c r="E17" s="125">
        <f>Նախահաշիվ!E23</f>
        <v>202.5</v>
      </c>
      <c r="F17" s="125">
        <f t="shared" ref="F17" si="4">N17</f>
        <v>0.83386097974013995</v>
      </c>
      <c r="G17" s="125">
        <f t="shared" ref="G17" si="5">E17*F17</f>
        <v>168.85684839737834</v>
      </c>
      <c r="J17" s="64">
        <v>0.66304157799999996</v>
      </c>
      <c r="K17" s="36">
        <f t="shared" si="0"/>
        <v>8.8184529873999995E-2</v>
      </c>
      <c r="L17" s="47">
        <f t="shared" si="1"/>
        <v>0.7512261078739999</v>
      </c>
      <c r="M17" s="36">
        <f t="shared" si="2"/>
        <v>8.2634871866139992E-2</v>
      </c>
      <c r="N17" s="47">
        <f t="shared" si="3"/>
        <v>0.83386097974013995</v>
      </c>
    </row>
    <row r="18" spans="1:14" s="63" customFormat="1" ht="14.25" x14ac:dyDescent="0.2">
      <c r="A18" s="122"/>
      <c r="B18" s="123"/>
      <c r="C18" s="124"/>
      <c r="D18" s="123"/>
      <c r="E18" s="125"/>
      <c r="F18" s="125"/>
      <c r="G18" s="125"/>
      <c r="J18" s="64"/>
      <c r="K18" s="36">
        <f t="shared" si="0"/>
        <v>0</v>
      </c>
      <c r="L18" s="47">
        <f t="shared" si="1"/>
        <v>0</v>
      </c>
      <c r="M18" s="36">
        <f t="shared" si="2"/>
        <v>0</v>
      </c>
      <c r="N18" s="47">
        <f t="shared" si="3"/>
        <v>0</v>
      </c>
    </row>
    <row r="19" spans="1:14" s="63" customFormat="1" ht="14.25" x14ac:dyDescent="0.2">
      <c r="A19" s="122"/>
      <c r="B19" s="123"/>
      <c r="C19" s="124"/>
      <c r="D19" s="123"/>
      <c r="E19" s="125"/>
      <c r="F19" s="125"/>
      <c r="G19" s="125"/>
      <c r="J19" s="64"/>
      <c r="K19" s="36">
        <f t="shared" si="0"/>
        <v>0</v>
      </c>
      <c r="L19" s="47">
        <f t="shared" si="1"/>
        <v>0</v>
      </c>
      <c r="M19" s="36">
        <f t="shared" si="2"/>
        <v>0</v>
      </c>
      <c r="N19" s="47">
        <f t="shared" si="3"/>
        <v>0</v>
      </c>
    </row>
    <row r="20" spans="1:14" s="63" customFormat="1" ht="30" customHeight="1" x14ac:dyDescent="0.2">
      <c r="A20" s="122"/>
      <c r="B20" s="123"/>
      <c r="C20" s="124"/>
      <c r="D20" s="123"/>
      <c r="E20" s="125"/>
      <c r="F20" s="125"/>
      <c r="G20" s="125"/>
      <c r="J20" s="64"/>
      <c r="K20" s="36">
        <f t="shared" si="0"/>
        <v>0</v>
      </c>
      <c r="L20" s="47">
        <f t="shared" si="1"/>
        <v>0</v>
      </c>
      <c r="M20" s="36">
        <f t="shared" si="2"/>
        <v>0</v>
      </c>
      <c r="N20" s="47">
        <f t="shared" si="3"/>
        <v>0</v>
      </c>
    </row>
    <row r="21" spans="1:14" ht="12.75" customHeight="1" x14ac:dyDescent="0.2">
      <c r="A21" s="122">
        <f>Նախահաշիվ!A27</f>
        <v>3</v>
      </c>
      <c r="B21" s="123" t="str">
        <f>Նախահաշիվ!B27</f>
        <v>E1--59</v>
      </c>
      <c r="C21" s="124" t="str">
        <f>Նախահաշիվ!C27</f>
        <v>Բնահողի մշակումը  5 կարգի գրունտներում Обработка почвы на почвах 5 класса</v>
      </c>
      <c r="D21" s="123" t="str">
        <f>Նախահաշիվ!D27</f>
        <v>մ3/м3</v>
      </c>
      <c r="E21" s="125">
        <f>Նախահաշիվ!E27</f>
        <v>112.5</v>
      </c>
      <c r="F21" s="125">
        <f t="shared" ref="F21" si="6">N21</f>
        <v>1.12611661133037</v>
      </c>
      <c r="G21" s="125">
        <f t="shared" ref="G21" si="7">E21*F21</f>
        <v>126.68811877466662</v>
      </c>
      <c r="J21" s="64">
        <v>0.89542759899999991</v>
      </c>
      <c r="K21" s="36">
        <f t="shared" si="0"/>
        <v>0.119091870667</v>
      </c>
      <c r="L21" s="47">
        <f t="shared" si="1"/>
        <v>1.0145194696669999</v>
      </c>
      <c r="M21" s="36">
        <f t="shared" si="2"/>
        <v>0.11159714166336999</v>
      </c>
      <c r="N21" s="47">
        <f t="shared" si="3"/>
        <v>1.12611661133037</v>
      </c>
    </row>
    <row r="22" spans="1:14" ht="14.25" x14ac:dyDescent="0.2">
      <c r="A22" s="122"/>
      <c r="B22" s="123"/>
      <c r="C22" s="124"/>
      <c r="D22" s="123"/>
      <c r="E22" s="125"/>
      <c r="F22" s="125"/>
      <c r="G22" s="125"/>
      <c r="J22" s="64"/>
      <c r="K22" s="36">
        <f t="shared" si="0"/>
        <v>0</v>
      </c>
      <c r="L22" s="47">
        <f t="shared" si="1"/>
        <v>0</v>
      </c>
      <c r="M22" s="36">
        <f t="shared" si="2"/>
        <v>0</v>
      </c>
      <c r="N22" s="47">
        <f t="shared" si="3"/>
        <v>0</v>
      </c>
    </row>
    <row r="23" spans="1:14" ht="14.25" x14ac:dyDescent="0.2">
      <c r="A23" s="122"/>
      <c r="B23" s="123"/>
      <c r="C23" s="124"/>
      <c r="D23" s="123"/>
      <c r="E23" s="125"/>
      <c r="F23" s="125"/>
      <c r="G23" s="125"/>
      <c r="J23" s="64"/>
      <c r="K23" s="36">
        <f t="shared" si="0"/>
        <v>0</v>
      </c>
      <c r="L23" s="47">
        <f t="shared" si="1"/>
        <v>0</v>
      </c>
      <c r="M23" s="36">
        <f t="shared" si="2"/>
        <v>0</v>
      </c>
      <c r="N23" s="47">
        <f t="shared" si="3"/>
        <v>0</v>
      </c>
    </row>
    <row r="24" spans="1:14" ht="14.25" x14ac:dyDescent="0.2">
      <c r="A24" s="122"/>
      <c r="B24" s="123"/>
      <c r="C24" s="124"/>
      <c r="D24" s="123"/>
      <c r="E24" s="125"/>
      <c r="F24" s="125"/>
      <c r="G24" s="125"/>
      <c r="J24" s="64"/>
      <c r="K24" s="36">
        <f t="shared" si="0"/>
        <v>0</v>
      </c>
      <c r="L24" s="47">
        <f t="shared" si="1"/>
        <v>0</v>
      </c>
      <c r="M24" s="36">
        <f t="shared" si="2"/>
        <v>0</v>
      </c>
      <c r="N24" s="47">
        <f t="shared" si="3"/>
        <v>0</v>
      </c>
    </row>
    <row r="25" spans="1:14" ht="12.75" customHeight="1" x14ac:dyDescent="0.2">
      <c r="A25" s="122">
        <f>Նախահաշիվ!A31</f>
        <v>4</v>
      </c>
      <c r="B25" s="123" t="str">
        <f>Նախահաշիվ!B31</f>
        <v>E1--60</v>
      </c>
      <c r="C25" s="124" t="str">
        <f>Նախահաշիվ!C31</f>
        <v>Բնահողի մշակումը  6 կարգի գրունտներում Обработка почвы на почвах 5 класса</v>
      </c>
      <c r="D25" s="123" t="str">
        <f>Նախահաշիվ!D31</f>
        <v>մ3/м3</v>
      </c>
      <c r="E25" s="125">
        <f>Նախահաշիվ!E31</f>
        <v>45</v>
      </c>
      <c r="F25" s="125">
        <f t="shared" ref="F25" si="8">N25</f>
        <v>1.3169760555745198</v>
      </c>
      <c r="G25" s="125">
        <f t="shared" ref="G25" si="9">E25*F25</f>
        <v>59.26392250085339</v>
      </c>
      <c r="J25" s="64">
        <v>1.0471888039999999</v>
      </c>
      <c r="K25" s="36">
        <f t="shared" ref="K25:K28" si="10">J25*13.3%</f>
        <v>0.13927611093199999</v>
      </c>
      <c r="L25" s="47">
        <f t="shared" ref="L25:L28" si="11">J25+K25</f>
        <v>1.1864649149319999</v>
      </c>
      <c r="M25" s="36">
        <f t="shared" ref="M25:M28" si="12">L25*11%</f>
        <v>0.13051114064251998</v>
      </c>
      <c r="N25" s="47">
        <f t="shared" ref="N25:N28" si="13">SUM(L25:M25)</f>
        <v>1.3169760555745198</v>
      </c>
    </row>
    <row r="26" spans="1:14" ht="14.25" x14ac:dyDescent="0.2">
      <c r="A26" s="122"/>
      <c r="B26" s="123"/>
      <c r="C26" s="124"/>
      <c r="D26" s="123"/>
      <c r="E26" s="125"/>
      <c r="F26" s="125"/>
      <c r="G26" s="125"/>
      <c r="J26" s="64"/>
      <c r="K26" s="36">
        <f t="shared" si="10"/>
        <v>0</v>
      </c>
      <c r="L26" s="47">
        <f t="shared" si="11"/>
        <v>0</v>
      </c>
      <c r="M26" s="36">
        <f t="shared" si="12"/>
        <v>0</v>
      </c>
      <c r="N26" s="47">
        <f t="shared" si="13"/>
        <v>0</v>
      </c>
    </row>
    <row r="27" spans="1:14" ht="14.25" x14ac:dyDescent="0.2">
      <c r="A27" s="122"/>
      <c r="B27" s="123"/>
      <c r="C27" s="124"/>
      <c r="D27" s="123"/>
      <c r="E27" s="125"/>
      <c r="F27" s="125"/>
      <c r="G27" s="125"/>
      <c r="J27" s="64"/>
      <c r="K27" s="36">
        <f t="shared" si="10"/>
        <v>0</v>
      </c>
      <c r="L27" s="47">
        <f t="shared" si="11"/>
        <v>0</v>
      </c>
      <c r="M27" s="36">
        <f t="shared" si="12"/>
        <v>0</v>
      </c>
      <c r="N27" s="47">
        <f t="shared" si="13"/>
        <v>0</v>
      </c>
    </row>
    <row r="28" spans="1:14" ht="30" customHeight="1" x14ac:dyDescent="0.2">
      <c r="A28" s="122"/>
      <c r="B28" s="123"/>
      <c r="C28" s="124"/>
      <c r="D28" s="123"/>
      <c r="E28" s="125"/>
      <c r="F28" s="125"/>
      <c r="G28" s="125"/>
      <c r="J28" s="64"/>
      <c r="K28" s="36">
        <f t="shared" si="10"/>
        <v>0</v>
      </c>
      <c r="L28" s="47">
        <f t="shared" si="11"/>
        <v>0</v>
      </c>
      <c r="M28" s="36">
        <f t="shared" si="12"/>
        <v>0</v>
      </c>
      <c r="N28" s="47">
        <f t="shared" si="13"/>
        <v>0</v>
      </c>
    </row>
    <row r="29" spans="1:14" ht="12.75" customHeight="1" x14ac:dyDescent="0.2">
      <c r="A29" s="122">
        <f>Նախահաշիվ!A35</f>
        <v>5</v>
      </c>
      <c r="B29" s="123" t="str">
        <f>Նախահաշիվ!B35</f>
        <v>1--967</v>
      </c>
      <c r="C29" s="124" t="str">
        <f>Նախահաշիվ!C35</f>
        <v>Տեղի փափուկ բնահողից նախապատրաստական շերտի փռում խողովակների տակ 
Почвенная смесь закладывается из гравия под водопропускные трубы подготовительного слоя.</v>
      </c>
      <c r="D29" s="123" t="str">
        <f>Նախահաշիվ!D35</f>
        <v>մ3/м3</v>
      </c>
      <c r="E29" s="125">
        <f>Նախահաշիվ!E35</f>
        <v>75</v>
      </c>
      <c r="F29" s="125">
        <f t="shared" ref="F29" si="14">N29</f>
        <v>1.2310443306150001</v>
      </c>
      <c r="G29" s="125">
        <f t="shared" ref="G29" si="15">E29*F29</f>
        <v>92.328324796125003</v>
      </c>
      <c r="J29" s="64">
        <v>0.97886049999999991</v>
      </c>
      <c r="K29" s="36">
        <f t="shared" si="0"/>
        <v>0.1301884465</v>
      </c>
      <c r="L29" s="47">
        <f t="shared" si="1"/>
        <v>1.1090489465</v>
      </c>
      <c r="M29" s="36">
        <f t="shared" si="2"/>
        <v>0.12199538411499999</v>
      </c>
      <c r="N29" s="47">
        <f t="shared" si="3"/>
        <v>1.2310443306150001</v>
      </c>
    </row>
    <row r="30" spans="1:14" ht="14.25" x14ac:dyDescent="0.2">
      <c r="A30" s="122"/>
      <c r="B30" s="123"/>
      <c r="C30" s="124"/>
      <c r="D30" s="123"/>
      <c r="E30" s="125"/>
      <c r="F30" s="125"/>
      <c r="G30" s="125"/>
      <c r="J30" s="64"/>
      <c r="K30" s="36">
        <f t="shared" si="0"/>
        <v>0</v>
      </c>
      <c r="L30" s="47">
        <f t="shared" si="1"/>
        <v>0</v>
      </c>
      <c r="M30" s="36">
        <f t="shared" si="2"/>
        <v>0</v>
      </c>
      <c r="N30" s="47">
        <f t="shared" si="3"/>
        <v>0</v>
      </c>
    </row>
    <row r="31" spans="1:14" ht="14.25" x14ac:dyDescent="0.2">
      <c r="A31" s="122"/>
      <c r="B31" s="123"/>
      <c r="C31" s="124"/>
      <c r="D31" s="123"/>
      <c r="E31" s="125"/>
      <c r="F31" s="125"/>
      <c r="G31" s="125"/>
      <c r="J31" s="64"/>
      <c r="K31" s="36">
        <f t="shared" si="0"/>
        <v>0</v>
      </c>
      <c r="L31" s="47">
        <f t="shared" si="1"/>
        <v>0</v>
      </c>
      <c r="M31" s="36">
        <f t="shared" si="2"/>
        <v>0</v>
      </c>
      <c r="N31" s="47">
        <f t="shared" si="3"/>
        <v>0</v>
      </c>
    </row>
    <row r="32" spans="1:14" ht="30" customHeight="1" x14ac:dyDescent="0.2">
      <c r="A32" s="122"/>
      <c r="B32" s="123"/>
      <c r="C32" s="124"/>
      <c r="D32" s="123"/>
      <c r="E32" s="125"/>
      <c r="F32" s="125"/>
      <c r="G32" s="125"/>
      <c r="J32" s="64"/>
      <c r="K32" s="36">
        <f t="shared" si="0"/>
        <v>0</v>
      </c>
      <c r="L32" s="47">
        <f t="shared" si="1"/>
        <v>0</v>
      </c>
      <c r="M32" s="36">
        <f t="shared" si="2"/>
        <v>0</v>
      </c>
      <c r="N32" s="47">
        <f t="shared" si="3"/>
        <v>0</v>
      </c>
    </row>
    <row r="33" spans="1:14" ht="12.75" customHeight="1" x14ac:dyDescent="0.2">
      <c r="A33" s="122">
        <f>Նախահաշիվ!A39</f>
        <v>6</v>
      </c>
      <c r="B33" s="123" t="str">
        <f>Նախահաշիվ!B39</f>
        <v>E22-67</v>
      </c>
      <c r="C33" s="124" t="str">
        <f>Նախահաշիվ!C39</f>
        <v xml:space="preserve">Խողովակաշարերի տեղադրում պողպատե կիսախողովակներից 127*4.0մմ տրամագծով Монтаж трубопроводов из стальных полутруб диаметр 127*4,0мм                                                       </v>
      </c>
      <c r="D33" s="123" t="str">
        <f>Նախահաշիվ!D39</f>
        <v xml:space="preserve">գմ/пм </v>
      </c>
      <c r="E33" s="125">
        <f>Նախահաշիվ!E39</f>
        <v>1500</v>
      </c>
      <c r="F33" s="125">
        <f t="shared" ref="F33" si="16">N33</f>
        <v>7.2282476322799392</v>
      </c>
      <c r="G33" s="125">
        <f t="shared" ref="G33" si="17">E33*F33</f>
        <v>10842.371448419908</v>
      </c>
      <c r="J33" s="64">
        <v>5.7475152726000003</v>
      </c>
      <c r="K33" s="36">
        <f t="shared" si="0"/>
        <v>0.76441953125580009</v>
      </c>
      <c r="L33" s="47">
        <f t="shared" si="1"/>
        <v>6.5119348038558007</v>
      </c>
      <c r="M33" s="36">
        <f t="shared" si="2"/>
        <v>0.71631282842413813</v>
      </c>
      <c r="N33" s="47">
        <f t="shared" si="3"/>
        <v>7.2282476322799392</v>
      </c>
    </row>
    <row r="34" spans="1:14" ht="14.25" x14ac:dyDescent="0.2">
      <c r="A34" s="122"/>
      <c r="B34" s="123"/>
      <c r="C34" s="124"/>
      <c r="D34" s="123"/>
      <c r="E34" s="125"/>
      <c r="F34" s="125"/>
      <c r="G34" s="125"/>
      <c r="J34" s="64"/>
      <c r="K34" s="36">
        <f t="shared" si="0"/>
        <v>0</v>
      </c>
      <c r="L34" s="47">
        <f t="shared" si="1"/>
        <v>0</v>
      </c>
      <c r="M34" s="36">
        <f t="shared" si="2"/>
        <v>0</v>
      </c>
      <c r="N34" s="47">
        <f t="shared" si="3"/>
        <v>0</v>
      </c>
    </row>
    <row r="35" spans="1:14" ht="14.25" x14ac:dyDescent="0.2">
      <c r="A35" s="122"/>
      <c r="B35" s="123"/>
      <c r="C35" s="124"/>
      <c r="D35" s="123"/>
      <c r="E35" s="125"/>
      <c r="F35" s="125"/>
      <c r="G35" s="125"/>
      <c r="J35" s="64"/>
      <c r="K35" s="36">
        <f t="shared" si="0"/>
        <v>0</v>
      </c>
      <c r="L35" s="47">
        <f t="shared" si="1"/>
        <v>0</v>
      </c>
      <c r="M35" s="36">
        <f t="shared" si="2"/>
        <v>0</v>
      </c>
      <c r="N35" s="47">
        <f t="shared" si="3"/>
        <v>0</v>
      </c>
    </row>
    <row r="36" spans="1:14" ht="29.25" customHeight="1" x14ac:dyDescent="0.2">
      <c r="A36" s="122"/>
      <c r="B36" s="123"/>
      <c r="C36" s="124"/>
      <c r="D36" s="123"/>
      <c r="E36" s="125"/>
      <c r="F36" s="125"/>
      <c r="G36" s="125"/>
      <c r="J36" s="64"/>
      <c r="K36" s="36">
        <f t="shared" si="0"/>
        <v>0</v>
      </c>
      <c r="L36" s="47">
        <f t="shared" si="1"/>
        <v>0</v>
      </c>
      <c r="M36" s="36">
        <f t="shared" si="2"/>
        <v>0</v>
      </c>
      <c r="N36" s="47">
        <f t="shared" si="3"/>
        <v>0</v>
      </c>
    </row>
    <row r="37" spans="1:14" s="63" customFormat="1" ht="14.25" customHeight="1" x14ac:dyDescent="0.2">
      <c r="A37" s="122">
        <f>Նախահաշիվ!A43</f>
        <v>7</v>
      </c>
      <c r="B37" s="123" t="str">
        <f>Նախահաշիվ!B43</f>
        <v xml:space="preserve">E13-103      E13-104 </v>
      </c>
      <c r="C37" s="124" t="str">
        <f>Նախահաշիվ!C43</f>
        <v xml:space="preserve">Խողովակի արտաքին մակերեսների հակակոռոզիոն մեկուսացում բիտումային մածիկով          Антикоррозийная изоляция наружных поверхностей трубы битумной пастой                                         </v>
      </c>
      <c r="D37" s="123" t="str">
        <f>Նախահաշիվ!D43</f>
        <v>մ2/м2</v>
      </c>
      <c r="E37" s="125">
        <f>Նախահաշիվ!E43</f>
        <v>598.17000000000007</v>
      </c>
      <c r="F37" s="125">
        <f t="shared" ref="F37" si="18">N37</f>
        <v>0.2394297792095833</v>
      </c>
      <c r="G37" s="125">
        <f t="shared" ref="G37" si="19">E37*F37</f>
        <v>143.21971102979646</v>
      </c>
      <c r="J37" s="64">
        <v>0.1903817332678</v>
      </c>
      <c r="K37" s="36">
        <f t="shared" si="0"/>
        <v>2.5320770524617401E-2</v>
      </c>
      <c r="L37" s="47">
        <f t="shared" si="1"/>
        <v>0.2157025037924174</v>
      </c>
      <c r="M37" s="36">
        <f t="shared" si="2"/>
        <v>2.3727275417165915E-2</v>
      </c>
      <c r="N37" s="47">
        <f t="shared" si="3"/>
        <v>0.2394297792095833</v>
      </c>
    </row>
    <row r="38" spans="1:14" s="63" customFormat="1" ht="14.25" x14ac:dyDescent="0.2">
      <c r="A38" s="122"/>
      <c r="B38" s="123"/>
      <c r="C38" s="124"/>
      <c r="D38" s="123"/>
      <c r="E38" s="125"/>
      <c r="F38" s="125"/>
      <c r="G38" s="125"/>
      <c r="J38" s="64"/>
      <c r="K38" s="36">
        <f t="shared" si="0"/>
        <v>0</v>
      </c>
      <c r="L38" s="47">
        <f t="shared" si="1"/>
        <v>0</v>
      </c>
      <c r="M38" s="36">
        <f t="shared" si="2"/>
        <v>0</v>
      </c>
      <c r="N38" s="47">
        <f t="shared" si="3"/>
        <v>0</v>
      </c>
    </row>
    <row r="39" spans="1:14" s="63" customFormat="1" ht="14.25" x14ac:dyDescent="0.2">
      <c r="A39" s="122"/>
      <c r="B39" s="123"/>
      <c r="C39" s="124"/>
      <c r="D39" s="123"/>
      <c r="E39" s="125"/>
      <c r="F39" s="125"/>
      <c r="G39" s="125"/>
      <c r="J39" s="64"/>
      <c r="K39" s="36">
        <f t="shared" si="0"/>
        <v>0</v>
      </c>
      <c r="L39" s="47">
        <f t="shared" si="1"/>
        <v>0</v>
      </c>
      <c r="M39" s="36">
        <f t="shared" si="2"/>
        <v>0</v>
      </c>
      <c r="N39" s="47">
        <f t="shared" si="3"/>
        <v>0</v>
      </c>
    </row>
    <row r="40" spans="1:14" s="63" customFormat="1" ht="18.75" customHeight="1" x14ac:dyDescent="0.2">
      <c r="A40" s="122"/>
      <c r="B40" s="123"/>
      <c r="C40" s="124"/>
      <c r="D40" s="123"/>
      <c r="E40" s="125"/>
      <c r="F40" s="125"/>
      <c r="G40" s="125"/>
      <c r="J40" s="64"/>
      <c r="K40" s="36">
        <f t="shared" si="0"/>
        <v>0</v>
      </c>
      <c r="L40" s="47">
        <f t="shared" si="1"/>
        <v>0</v>
      </c>
      <c r="M40" s="36">
        <f t="shared" si="2"/>
        <v>0</v>
      </c>
      <c r="N40" s="47">
        <f t="shared" si="3"/>
        <v>0</v>
      </c>
    </row>
    <row r="41" spans="1:14" s="63" customFormat="1" ht="14.25" customHeight="1" x14ac:dyDescent="0.2">
      <c r="A41" s="122">
        <f>Նախահաշիվ!A47</f>
        <v>8</v>
      </c>
      <c r="B41" s="123" t="str">
        <f>Նախահաշիվ!B47</f>
        <v>E1-258</v>
      </c>
      <c r="C41" s="124" t="str">
        <f>Նախահաշիվ!C47</f>
        <v>Բնահողի ետլիցք բուլդոզերով Обратная засыпка грунта бульдозером</v>
      </c>
      <c r="D41" s="123" t="str">
        <f>Նախահաշիվ!D47</f>
        <v>մ3/м3</v>
      </c>
      <c r="E41" s="125">
        <f>Նախահաշիվ!E47</f>
        <v>311.00810250000001</v>
      </c>
      <c r="F41" s="125">
        <f t="shared" ref="F41" si="20">N41</f>
        <v>9.1524506179919987E-2</v>
      </c>
      <c r="G41" s="125">
        <f t="shared" ref="G41" si="21">E41*F41</f>
        <v>28.46486299926644</v>
      </c>
      <c r="J41" s="64">
        <v>7.2775383999999985E-2</v>
      </c>
      <c r="K41" s="36">
        <f t="shared" si="0"/>
        <v>9.6791260719999977E-3</v>
      </c>
      <c r="L41" s="47">
        <f t="shared" si="1"/>
        <v>8.2454510071999984E-2</v>
      </c>
      <c r="M41" s="36">
        <f t="shared" si="2"/>
        <v>9.0699961079199979E-3</v>
      </c>
      <c r="N41" s="47">
        <f t="shared" si="3"/>
        <v>9.1524506179919987E-2</v>
      </c>
    </row>
    <row r="42" spans="1:14" s="63" customFormat="1" ht="14.25" x14ac:dyDescent="0.2">
      <c r="A42" s="122"/>
      <c r="B42" s="123"/>
      <c r="C42" s="124"/>
      <c r="D42" s="123"/>
      <c r="E42" s="125"/>
      <c r="F42" s="125"/>
      <c r="G42" s="125"/>
      <c r="J42" s="64"/>
      <c r="K42" s="36">
        <f t="shared" si="0"/>
        <v>0</v>
      </c>
      <c r="L42" s="47">
        <f t="shared" si="1"/>
        <v>0</v>
      </c>
      <c r="M42" s="36">
        <f t="shared" si="2"/>
        <v>0</v>
      </c>
      <c r="N42" s="47">
        <f t="shared" si="3"/>
        <v>0</v>
      </c>
    </row>
    <row r="43" spans="1:14" s="63" customFormat="1" ht="14.25" x14ac:dyDescent="0.2">
      <c r="A43" s="122"/>
      <c r="B43" s="123"/>
      <c r="C43" s="124"/>
      <c r="D43" s="123"/>
      <c r="E43" s="125"/>
      <c r="F43" s="125"/>
      <c r="G43" s="125"/>
      <c r="J43" s="64"/>
      <c r="K43" s="36">
        <f t="shared" si="0"/>
        <v>0</v>
      </c>
      <c r="L43" s="47">
        <f t="shared" si="1"/>
        <v>0</v>
      </c>
      <c r="M43" s="36">
        <f t="shared" si="2"/>
        <v>0</v>
      </c>
      <c r="N43" s="47">
        <f t="shared" si="3"/>
        <v>0</v>
      </c>
    </row>
    <row r="44" spans="1:14" s="63" customFormat="1" ht="14.25" x14ac:dyDescent="0.2">
      <c r="A44" s="122"/>
      <c r="B44" s="123"/>
      <c r="C44" s="124"/>
      <c r="D44" s="123"/>
      <c r="E44" s="125"/>
      <c r="F44" s="125"/>
      <c r="G44" s="125"/>
      <c r="J44" s="64"/>
      <c r="K44" s="36">
        <f t="shared" si="0"/>
        <v>0</v>
      </c>
      <c r="L44" s="47">
        <f t="shared" si="1"/>
        <v>0</v>
      </c>
      <c r="M44" s="36">
        <f t="shared" si="2"/>
        <v>0</v>
      </c>
      <c r="N44" s="47">
        <f t="shared" si="3"/>
        <v>0</v>
      </c>
    </row>
    <row r="45" spans="1:14" ht="12.75" customHeight="1" x14ac:dyDescent="0.2">
      <c r="A45" s="122">
        <f>Նախահաշիվ!A51</f>
        <v>9</v>
      </c>
      <c r="B45" s="123" t="str">
        <f>Նախահաշիվ!B51</f>
        <v>շուկա</v>
      </c>
      <c r="C45" s="124" t="str">
        <f>Նախահաշիվ!C51</f>
        <v>Մետաղական ցանցի ձեռքբերում և տեղադրում խողովակաշարի սկզբնամասում Строительство и монтаж металлической сетки  в начале трубопровода.</v>
      </c>
      <c r="D45" s="123" t="str">
        <f>Նախահաշիվ!D51</f>
        <v>հատ/шт</v>
      </c>
      <c r="E45" s="125">
        <f>Նախահաշիվ!E51</f>
        <v>1</v>
      </c>
      <c r="F45" s="125">
        <f t="shared" ref="F45" si="22">N45</f>
        <v>4.7830941630549004</v>
      </c>
      <c r="G45" s="125">
        <f t="shared" ref="G45" si="23">E45*F45</f>
        <v>4.7830941630549004</v>
      </c>
      <c r="J45" s="64">
        <v>3.8032602300000002</v>
      </c>
      <c r="K45" s="36">
        <f t="shared" si="0"/>
        <v>0.50583361059000009</v>
      </c>
      <c r="L45" s="47">
        <f t="shared" si="1"/>
        <v>4.3090938405900001</v>
      </c>
      <c r="M45" s="36">
        <f t="shared" si="2"/>
        <v>0.47400032246490004</v>
      </c>
      <c r="N45" s="47">
        <f t="shared" si="3"/>
        <v>4.7830941630549004</v>
      </c>
    </row>
    <row r="46" spans="1:14" ht="14.25" x14ac:dyDescent="0.2">
      <c r="A46" s="122"/>
      <c r="B46" s="123"/>
      <c r="C46" s="124"/>
      <c r="D46" s="123"/>
      <c r="E46" s="125"/>
      <c r="F46" s="125"/>
      <c r="G46" s="125"/>
      <c r="J46" s="64"/>
      <c r="K46" s="36">
        <f t="shared" si="0"/>
        <v>0</v>
      </c>
      <c r="L46" s="47">
        <f t="shared" si="1"/>
        <v>0</v>
      </c>
      <c r="M46" s="36">
        <f t="shared" si="2"/>
        <v>0</v>
      </c>
      <c r="N46" s="47">
        <f t="shared" si="3"/>
        <v>0</v>
      </c>
    </row>
    <row r="47" spans="1:14" ht="14.25" x14ac:dyDescent="0.2">
      <c r="A47" s="122"/>
      <c r="B47" s="123"/>
      <c r="C47" s="124"/>
      <c r="D47" s="123"/>
      <c r="E47" s="125"/>
      <c r="F47" s="125"/>
      <c r="G47" s="125"/>
      <c r="J47" s="64"/>
      <c r="K47" s="36">
        <f t="shared" si="0"/>
        <v>0</v>
      </c>
      <c r="L47" s="47">
        <f t="shared" si="1"/>
        <v>0</v>
      </c>
      <c r="M47" s="36">
        <f t="shared" si="2"/>
        <v>0</v>
      </c>
      <c r="N47" s="47">
        <f t="shared" si="3"/>
        <v>0</v>
      </c>
    </row>
    <row r="48" spans="1:14" ht="28.5" customHeight="1" x14ac:dyDescent="0.2">
      <c r="A48" s="122"/>
      <c r="B48" s="123"/>
      <c r="C48" s="124"/>
      <c r="D48" s="123"/>
      <c r="E48" s="125"/>
      <c r="F48" s="125"/>
      <c r="G48" s="125"/>
      <c r="J48" s="64"/>
      <c r="K48" s="36">
        <f t="shared" si="0"/>
        <v>0</v>
      </c>
      <c r="L48" s="47">
        <f t="shared" si="1"/>
        <v>0</v>
      </c>
      <c r="M48" s="36">
        <f t="shared" si="2"/>
        <v>0</v>
      </c>
      <c r="N48" s="47">
        <f t="shared" si="3"/>
        <v>0</v>
      </c>
    </row>
    <row r="49" spans="1:14" ht="12.75" customHeight="1" x14ac:dyDescent="0.2">
      <c r="A49" s="122">
        <f>Նախահաշիվ!A55</f>
        <v>10</v>
      </c>
      <c r="B49" s="123" t="str">
        <f>Նախահաշիվ!B55</f>
        <v>E37-707</v>
      </c>
      <c r="C49" s="124" t="str">
        <f>Նախահաշիվ!C55</f>
        <v xml:space="preserve">Ջրհավաքի միացման տեղի ծակում և բետոնացում B15, F150, W4 դասի բետոնով    Перфорация и бетонирование места подключения водосборника бетоном марок В15, Ф150, В4                                          </v>
      </c>
      <c r="D49" s="123" t="str">
        <f>Նախահաշիվ!D55</f>
        <v>մ3/м3</v>
      </c>
      <c r="E49" s="125">
        <f>Նախահաշիվ!E55</f>
        <v>0.1</v>
      </c>
      <c r="F49" s="125">
        <f t="shared" ref="F49" si="24">N49</f>
        <v>95.709135486802992</v>
      </c>
      <c r="G49" s="125">
        <f t="shared" ref="G49" si="25">E49*F49</f>
        <v>9.5709135486803003</v>
      </c>
      <c r="J49" s="64">
        <v>76.102777038400006</v>
      </c>
      <c r="K49" s="36">
        <f t="shared" ref="K49:K52" si="26">J49*13.3%</f>
        <v>10.121669346107202</v>
      </c>
      <c r="L49" s="47">
        <f t="shared" ref="L49:L52" si="27">J49+K49</f>
        <v>86.224446384507203</v>
      </c>
      <c r="M49" s="36">
        <f t="shared" ref="M49:M52" si="28">L49*11%</f>
        <v>9.4846891022957927</v>
      </c>
      <c r="N49" s="47">
        <f t="shared" ref="N49:N52" si="29">SUM(L49:M49)</f>
        <v>95.709135486802992</v>
      </c>
    </row>
    <row r="50" spans="1:14" ht="14.25" x14ac:dyDescent="0.2">
      <c r="A50" s="122"/>
      <c r="B50" s="123"/>
      <c r="C50" s="124"/>
      <c r="D50" s="123"/>
      <c r="E50" s="125"/>
      <c r="F50" s="125"/>
      <c r="G50" s="125"/>
      <c r="J50" s="64"/>
      <c r="K50" s="36">
        <f t="shared" si="26"/>
        <v>0</v>
      </c>
      <c r="L50" s="47">
        <f t="shared" si="27"/>
        <v>0</v>
      </c>
      <c r="M50" s="36">
        <f t="shared" si="28"/>
        <v>0</v>
      </c>
      <c r="N50" s="47">
        <f t="shared" si="29"/>
        <v>0</v>
      </c>
    </row>
    <row r="51" spans="1:14" ht="14.25" x14ac:dyDescent="0.2">
      <c r="A51" s="122"/>
      <c r="B51" s="123"/>
      <c r="C51" s="124"/>
      <c r="D51" s="123"/>
      <c r="E51" s="125"/>
      <c r="F51" s="125"/>
      <c r="G51" s="125"/>
      <c r="J51" s="64"/>
      <c r="K51" s="36">
        <f t="shared" si="26"/>
        <v>0</v>
      </c>
      <c r="L51" s="47">
        <f t="shared" si="27"/>
        <v>0</v>
      </c>
      <c r="M51" s="36">
        <f t="shared" si="28"/>
        <v>0</v>
      </c>
      <c r="N51" s="47">
        <f t="shared" si="29"/>
        <v>0</v>
      </c>
    </row>
    <row r="52" spans="1:14" ht="28.5" customHeight="1" x14ac:dyDescent="0.2">
      <c r="A52" s="122"/>
      <c r="B52" s="123"/>
      <c r="C52" s="124"/>
      <c r="D52" s="123"/>
      <c r="E52" s="125"/>
      <c r="F52" s="125"/>
      <c r="G52" s="125"/>
      <c r="J52" s="64"/>
      <c r="K52" s="36">
        <f t="shared" si="26"/>
        <v>0</v>
      </c>
      <c r="L52" s="47">
        <f t="shared" si="27"/>
        <v>0</v>
      </c>
      <c r="M52" s="36">
        <f t="shared" si="28"/>
        <v>0</v>
      </c>
      <c r="N52" s="47">
        <f t="shared" si="29"/>
        <v>0</v>
      </c>
    </row>
    <row r="53" spans="1:14" ht="19.5" customHeight="1" x14ac:dyDescent="0.2">
      <c r="A53" s="73"/>
      <c r="B53" s="97"/>
      <c r="C53" s="98" t="str">
        <f>Նախահաշիվ!C60</f>
        <v>ՄԵՏԱՂԱԿԱՆ ՑԱՆԿԱՊԱՏ</v>
      </c>
      <c r="D53" s="97"/>
      <c r="E53" s="99"/>
      <c r="F53" s="99"/>
      <c r="G53" s="71"/>
      <c r="J53" s="64"/>
      <c r="L53" s="47"/>
      <c r="N53" s="47"/>
    </row>
    <row r="54" spans="1:14" s="63" customFormat="1" ht="14.25" customHeight="1" x14ac:dyDescent="0.2">
      <c r="A54" s="122">
        <f>Նախահաշիվ!A61</f>
        <v>11</v>
      </c>
      <c r="B54" s="123" t="str">
        <f>Նախահաշիվ!B61</f>
        <v>9--121</v>
      </c>
      <c r="C54" s="124" t="str">
        <f>Նախահաշիվ!C61</f>
        <v>Մետաղական ցանկապատի կառուցում և տեղադրում կլոր խողովակներից H=1,5մ բարձրությամբ ռաբիցա ցանցով / ներառյալ դռնակը/</v>
      </c>
      <c r="D54" s="123" t="str">
        <f>Նախահաշիվ!D61</f>
        <v>տ/Т</v>
      </c>
      <c r="E54" s="170">
        <f>Նախահաշիվ!E61</f>
        <v>6.2920000000000004E-2</v>
      </c>
      <c r="F54" s="170">
        <f>N54</f>
        <v>77.930844371465</v>
      </c>
      <c r="G54" s="125">
        <f t="shared" ref="G54" si="30">E54*F54</f>
        <v>4.903408727852578</v>
      </c>
      <c r="J54" s="64">
        <v>61.966432393839995</v>
      </c>
      <c r="K54" s="36">
        <f t="shared" ref="K54:K69" si="31">J54*13.3%</f>
        <v>8.2415355083807196</v>
      </c>
      <c r="L54" s="47">
        <f t="shared" ref="L54:L69" si="32">J54+K54</f>
        <v>70.207967902220716</v>
      </c>
      <c r="M54" s="36">
        <f t="shared" ref="M54:M69" si="33">L54*11%</f>
        <v>7.7228764692442784</v>
      </c>
      <c r="N54" s="47">
        <f t="shared" ref="N54:N69" si="34">SUM(L54:M54)</f>
        <v>77.930844371465</v>
      </c>
    </row>
    <row r="55" spans="1:14" s="63" customFormat="1" ht="14.25" x14ac:dyDescent="0.2">
      <c r="A55" s="122"/>
      <c r="B55" s="123"/>
      <c r="C55" s="124"/>
      <c r="D55" s="123"/>
      <c r="E55" s="170"/>
      <c r="F55" s="170"/>
      <c r="G55" s="125"/>
      <c r="J55" s="64"/>
      <c r="K55" s="36">
        <f t="shared" si="31"/>
        <v>0</v>
      </c>
      <c r="L55" s="47">
        <f t="shared" si="32"/>
        <v>0</v>
      </c>
      <c r="M55" s="36">
        <f t="shared" si="33"/>
        <v>0</v>
      </c>
      <c r="N55" s="47">
        <f t="shared" si="34"/>
        <v>0</v>
      </c>
    </row>
    <row r="56" spans="1:14" s="63" customFormat="1" ht="14.25" x14ac:dyDescent="0.2">
      <c r="A56" s="122"/>
      <c r="B56" s="123"/>
      <c r="C56" s="124"/>
      <c r="D56" s="123"/>
      <c r="E56" s="170"/>
      <c r="F56" s="170"/>
      <c r="G56" s="125"/>
      <c r="J56" s="64"/>
      <c r="K56" s="36">
        <f t="shared" si="31"/>
        <v>0</v>
      </c>
      <c r="L56" s="47">
        <f t="shared" si="32"/>
        <v>0</v>
      </c>
      <c r="M56" s="36">
        <f t="shared" si="33"/>
        <v>0</v>
      </c>
      <c r="N56" s="47">
        <f t="shared" si="34"/>
        <v>0</v>
      </c>
    </row>
    <row r="57" spans="1:14" s="63" customFormat="1" ht="14.25" x14ac:dyDescent="0.2">
      <c r="A57" s="122"/>
      <c r="B57" s="123"/>
      <c r="C57" s="124"/>
      <c r="D57" s="123"/>
      <c r="E57" s="170"/>
      <c r="F57" s="170"/>
      <c r="G57" s="125"/>
      <c r="J57" s="64"/>
      <c r="K57" s="36">
        <f t="shared" si="31"/>
        <v>0</v>
      </c>
      <c r="L57" s="47">
        <f t="shared" si="32"/>
        <v>0</v>
      </c>
      <c r="M57" s="36">
        <f t="shared" si="33"/>
        <v>0</v>
      </c>
      <c r="N57" s="47">
        <f t="shared" si="34"/>
        <v>0</v>
      </c>
    </row>
    <row r="58" spans="1:14" ht="12.75" customHeight="1" x14ac:dyDescent="0.2">
      <c r="A58" s="122">
        <f>Նախահաշիվ!A65</f>
        <v>12</v>
      </c>
      <c r="B58" s="123" t="str">
        <f>Նախահաշիվ!B65</f>
        <v>E27-22-1</v>
      </c>
      <c r="C58" s="124" t="str">
        <f>Նախահաշիվ!C65</f>
        <v>Խճային նախաշերտի իրականացում 10սմ հաստության Выполнение гравийного слой толщиной 10 см</v>
      </c>
      <c r="D58" s="123" t="str">
        <f>Նախահաշիվ!D65</f>
        <v xml:space="preserve">մ3/м3 </v>
      </c>
      <c r="E58" s="170">
        <f>Նախահաշիվ!E65</f>
        <v>5.2000000000000011E-2</v>
      </c>
      <c r="F58" s="171">
        <f t="shared" ref="F58" si="35">N58</f>
        <v>8.8185533750476957</v>
      </c>
      <c r="G58" s="125">
        <f t="shared" ref="G58" si="36">E58*F58</f>
        <v>0.45856477550248026</v>
      </c>
      <c r="J58" s="64">
        <v>7.0120412005499997</v>
      </c>
      <c r="K58" s="36">
        <f t="shared" si="31"/>
        <v>0.93260147967314999</v>
      </c>
      <c r="L58" s="47">
        <f t="shared" si="32"/>
        <v>7.9446426802231498</v>
      </c>
      <c r="M58" s="36">
        <f t="shared" si="33"/>
        <v>0.87391069482454653</v>
      </c>
      <c r="N58" s="47">
        <f t="shared" si="34"/>
        <v>8.8185533750476957</v>
      </c>
    </row>
    <row r="59" spans="1:14" ht="14.25" x14ac:dyDescent="0.2">
      <c r="A59" s="122"/>
      <c r="B59" s="123"/>
      <c r="C59" s="124"/>
      <c r="D59" s="123"/>
      <c r="E59" s="170"/>
      <c r="F59" s="172"/>
      <c r="G59" s="125"/>
      <c r="J59" s="64"/>
      <c r="K59" s="36">
        <f t="shared" si="31"/>
        <v>0</v>
      </c>
      <c r="L59" s="47">
        <f t="shared" si="32"/>
        <v>0</v>
      </c>
      <c r="M59" s="36">
        <f t="shared" si="33"/>
        <v>0</v>
      </c>
      <c r="N59" s="47">
        <f t="shared" si="34"/>
        <v>0</v>
      </c>
    </row>
    <row r="60" spans="1:14" ht="14.25" x14ac:dyDescent="0.2">
      <c r="A60" s="122"/>
      <c r="B60" s="123"/>
      <c r="C60" s="124"/>
      <c r="D60" s="123"/>
      <c r="E60" s="170"/>
      <c r="F60" s="172"/>
      <c r="G60" s="125"/>
      <c r="J60" s="64"/>
      <c r="K60" s="36">
        <f t="shared" si="31"/>
        <v>0</v>
      </c>
      <c r="L60" s="47">
        <f t="shared" si="32"/>
        <v>0</v>
      </c>
      <c r="M60" s="36">
        <f t="shared" si="33"/>
        <v>0</v>
      </c>
      <c r="N60" s="47">
        <f t="shared" si="34"/>
        <v>0</v>
      </c>
    </row>
    <row r="61" spans="1:14" ht="32.25" customHeight="1" x14ac:dyDescent="0.2">
      <c r="A61" s="122"/>
      <c r="B61" s="123"/>
      <c r="C61" s="124"/>
      <c r="D61" s="123"/>
      <c r="E61" s="170"/>
      <c r="F61" s="173"/>
      <c r="G61" s="125"/>
      <c r="J61" s="64"/>
      <c r="K61" s="36">
        <f t="shared" si="31"/>
        <v>0</v>
      </c>
      <c r="L61" s="47">
        <f t="shared" si="32"/>
        <v>0</v>
      </c>
      <c r="M61" s="36">
        <f t="shared" si="33"/>
        <v>0</v>
      </c>
      <c r="N61" s="47">
        <f t="shared" si="34"/>
        <v>0</v>
      </c>
    </row>
    <row r="62" spans="1:14" ht="12.75" customHeight="1" x14ac:dyDescent="0.2">
      <c r="A62" s="122">
        <f>Նախահաշիվ!A69</f>
        <v>13</v>
      </c>
      <c r="B62" s="123" t="str">
        <f>Նախահաշիվ!B69</f>
        <v>6--20</v>
      </c>
      <c r="C62" s="124" t="str">
        <f>Նախահաշիվ!C69</f>
        <v xml:space="preserve">Բետոնե կետային հիմքերի կառուցում B15 դասի բետոնից 0,2*0,2*0.8  Строительство бетонной фундамент из бетона класса В15                                   </v>
      </c>
      <c r="D62" s="123" t="str">
        <f>Նախահաշիվ!D69</f>
        <v xml:space="preserve">մ3/м3 </v>
      </c>
      <c r="E62" s="170">
        <f>Նախահաշիվ!E69</f>
        <v>0.41600000000000004</v>
      </c>
      <c r="F62" s="171">
        <f t="shared" ref="F62" si="37">N62</f>
        <v>51.049546849827159</v>
      </c>
      <c r="G62" s="125">
        <f t="shared" ref="G62" si="38">E62*F62</f>
        <v>21.236611489528102</v>
      </c>
      <c r="J62" s="64">
        <v>40.591864737504004</v>
      </c>
      <c r="K62" s="36">
        <f t="shared" si="31"/>
        <v>5.3987180100880332</v>
      </c>
      <c r="L62" s="47">
        <f t="shared" si="32"/>
        <v>45.990582747592036</v>
      </c>
      <c r="M62" s="36">
        <f t="shared" si="33"/>
        <v>5.0589641022351239</v>
      </c>
      <c r="N62" s="47">
        <f t="shared" si="34"/>
        <v>51.049546849827159</v>
      </c>
    </row>
    <row r="63" spans="1:14" ht="14.25" x14ac:dyDescent="0.2">
      <c r="A63" s="122"/>
      <c r="B63" s="123"/>
      <c r="C63" s="124"/>
      <c r="D63" s="123"/>
      <c r="E63" s="170"/>
      <c r="F63" s="172"/>
      <c r="G63" s="125"/>
      <c r="J63" s="64"/>
      <c r="K63" s="36">
        <f t="shared" si="31"/>
        <v>0</v>
      </c>
      <c r="L63" s="47">
        <f t="shared" si="32"/>
        <v>0</v>
      </c>
      <c r="M63" s="36">
        <f t="shared" si="33"/>
        <v>0</v>
      </c>
      <c r="N63" s="47">
        <f t="shared" si="34"/>
        <v>0</v>
      </c>
    </row>
    <row r="64" spans="1:14" ht="14.25" x14ac:dyDescent="0.2">
      <c r="A64" s="122"/>
      <c r="B64" s="123"/>
      <c r="C64" s="124"/>
      <c r="D64" s="123"/>
      <c r="E64" s="170"/>
      <c r="F64" s="172"/>
      <c r="G64" s="125"/>
      <c r="J64" s="64"/>
      <c r="K64" s="36">
        <f t="shared" si="31"/>
        <v>0</v>
      </c>
      <c r="L64" s="47">
        <f t="shared" si="32"/>
        <v>0</v>
      </c>
      <c r="M64" s="36">
        <f t="shared" si="33"/>
        <v>0</v>
      </c>
      <c r="N64" s="47">
        <f t="shared" si="34"/>
        <v>0</v>
      </c>
    </row>
    <row r="65" spans="1:14" ht="28.5" customHeight="1" x14ac:dyDescent="0.2">
      <c r="A65" s="122"/>
      <c r="B65" s="123"/>
      <c r="C65" s="124"/>
      <c r="D65" s="123"/>
      <c r="E65" s="170"/>
      <c r="F65" s="173"/>
      <c r="G65" s="125"/>
      <c r="J65" s="64"/>
      <c r="K65" s="36">
        <f t="shared" si="31"/>
        <v>0</v>
      </c>
      <c r="L65" s="47">
        <f t="shared" si="32"/>
        <v>0</v>
      </c>
      <c r="M65" s="36">
        <f t="shared" si="33"/>
        <v>0</v>
      </c>
      <c r="N65" s="47">
        <f t="shared" si="34"/>
        <v>0</v>
      </c>
    </row>
    <row r="66" spans="1:14" ht="12.75" customHeight="1" x14ac:dyDescent="0.2">
      <c r="A66" s="122">
        <f>Նախահաշիվ!A73</f>
        <v>14</v>
      </c>
      <c r="B66" s="123" t="str">
        <f>Նախահաշիվ!B73</f>
        <v>ինֆ տեղ</v>
      </c>
      <c r="C66" s="124" t="str">
        <f>Նախահաշիվ!C73</f>
        <v>խողովակ Ф51*2մմ - 1հատ 1,5/2,0գմ /1գմ=2,42կգ/        туба Ф51*2мм - 1шт 1,5/2,0гр /1гр=2,42кг/</v>
      </c>
      <c r="D66" s="123" t="str">
        <f>Նախահաշիվ!D73</f>
        <v>հատ/ШТ</v>
      </c>
      <c r="E66" s="170">
        <f>Նախահաշիվ!E73</f>
        <v>13</v>
      </c>
      <c r="F66" s="171">
        <f t="shared" ref="F66" si="39">N66</f>
        <v>2.408940151211286</v>
      </c>
      <c r="G66" s="125">
        <f t="shared" ref="G66" si="40">E66*F66</f>
        <v>31.316221965746717</v>
      </c>
      <c r="J66" s="64">
        <v>1.9154601521999999</v>
      </c>
      <c r="K66" s="36">
        <f t="shared" si="31"/>
        <v>0.25475620024259998</v>
      </c>
      <c r="L66" s="47">
        <f t="shared" si="32"/>
        <v>2.1702163524425999</v>
      </c>
      <c r="M66" s="36">
        <f t="shared" si="33"/>
        <v>0.23872379876868599</v>
      </c>
      <c r="N66" s="47">
        <f t="shared" si="34"/>
        <v>2.408940151211286</v>
      </c>
    </row>
    <row r="67" spans="1:14" ht="14.25" x14ac:dyDescent="0.2">
      <c r="A67" s="122"/>
      <c r="B67" s="123"/>
      <c r="C67" s="124"/>
      <c r="D67" s="123"/>
      <c r="E67" s="170"/>
      <c r="F67" s="172"/>
      <c r="G67" s="125"/>
      <c r="J67" s="64"/>
      <c r="K67" s="36">
        <f t="shared" si="31"/>
        <v>0</v>
      </c>
      <c r="L67" s="47">
        <f t="shared" si="32"/>
        <v>0</v>
      </c>
      <c r="M67" s="36">
        <f t="shared" si="33"/>
        <v>0</v>
      </c>
      <c r="N67" s="47">
        <f t="shared" si="34"/>
        <v>0</v>
      </c>
    </row>
    <row r="68" spans="1:14" ht="14.25" x14ac:dyDescent="0.2">
      <c r="A68" s="122"/>
      <c r="B68" s="123"/>
      <c r="C68" s="124"/>
      <c r="D68" s="123"/>
      <c r="E68" s="170"/>
      <c r="F68" s="172"/>
      <c r="G68" s="125"/>
      <c r="J68" s="64"/>
      <c r="K68" s="36">
        <f t="shared" si="31"/>
        <v>0</v>
      </c>
      <c r="L68" s="47">
        <f t="shared" si="32"/>
        <v>0</v>
      </c>
      <c r="M68" s="36">
        <f t="shared" si="33"/>
        <v>0</v>
      </c>
      <c r="N68" s="47">
        <f t="shared" si="34"/>
        <v>0</v>
      </c>
    </row>
    <row r="69" spans="1:14" ht="28.5" customHeight="1" x14ac:dyDescent="0.2">
      <c r="A69" s="122"/>
      <c r="B69" s="123"/>
      <c r="C69" s="124"/>
      <c r="D69" s="123"/>
      <c r="E69" s="170"/>
      <c r="F69" s="173"/>
      <c r="G69" s="125"/>
      <c r="J69" s="64"/>
      <c r="K69" s="36">
        <f t="shared" si="31"/>
        <v>0</v>
      </c>
      <c r="L69" s="47">
        <f t="shared" si="32"/>
        <v>0</v>
      </c>
      <c r="M69" s="36">
        <f t="shared" si="33"/>
        <v>0</v>
      </c>
      <c r="N69" s="47">
        <f t="shared" si="34"/>
        <v>0</v>
      </c>
    </row>
    <row r="70" spans="1:14" s="63" customFormat="1" ht="14.25" customHeight="1" x14ac:dyDescent="0.2">
      <c r="A70" s="122">
        <f>Նախահաշիվ!A77</f>
        <v>15</v>
      </c>
      <c r="B70" s="123" t="str">
        <f>Նախահաշիվ!B77</f>
        <v>ինֆ տեղ</v>
      </c>
      <c r="C70" s="124" t="str">
        <f>Նախահաշիվ!C77</f>
        <v>Պողպատե, հյուսված, "Ռաբիցա", d=1,5-1,8մմ, բջիջը 50x50մմ, 70x70մմ, 1500x10000մմ       Сталь тканая, "Рабица", d=1,5-1,8мм, ячейка 50х50мм, 70х70мм, 1500х10000мм.</v>
      </c>
      <c r="D70" s="123" t="str">
        <f>Նախահաշիվ!D77</f>
        <v>մ2/м2</v>
      </c>
      <c r="E70" s="170">
        <f>Նախահաշիվ!E77</f>
        <v>36</v>
      </c>
      <c r="F70" s="171">
        <f t="shared" ref="F70" si="41">N70</f>
        <v>0.60440917151330109</v>
      </c>
      <c r="G70" s="125">
        <f t="shared" ref="G70" si="42">E70*F70</f>
        <v>21.758730174478838</v>
      </c>
      <c r="J70" s="64">
        <v>0.48059379270000008</v>
      </c>
      <c r="K70" s="36">
        <f t="shared" ref="K70:K77" si="43">J70*13.3%</f>
        <v>6.3918974429100009E-2</v>
      </c>
      <c r="L70" s="47">
        <f t="shared" ref="L70:L77" si="44">J70+K70</f>
        <v>0.54451276712910013</v>
      </c>
      <c r="M70" s="36">
        <f t="shared" ref="M70:M77" si="45">L70*11%</f>
        <v>5.9896404384201012E-2</v>
      </c>
      <c r="N70" s="47">
        <f t="shared" ref="N70:N77" si="46">SUM(L70:M70)</f>
        <v>0.60440917151330109</v>
      </c>
    </row>
    <row r="71" spans="1:14" s="63" customFormat="1" ht="14.25" x14ac:dyDescent="0.2">
      <c r="A71" s="122"/>
      <c r="B71" s="123"/>
      <c r="C71" s="124"/>
      <c r="D71" s="123"/>
      <c r="E71" s="170"/>
      <c r="F71" s="172"/>
      <c r="G71" s="125"/>
      <c r="J71" s="64"/>
      <c r="K71" s="36">
        <f t="shared" si="43"/>
        <v>0</v>
      </c>
      <c r="L71" s="47">
        <f t="shared" si="44"/>
        <v>0</v>
      </c>
      <c r="M71" s="36">
        <f t="shared" si="45"/>
        <v>0</v>
      </c>
      <c r="N71" s="47">
        <f t="shared" si="46"/>
        <v>0</v>
      </c>
    </row>
    <row r="72" spans="1:14" s="63" customFormat="1" ht="14.25" x14ac:dyDescent="0.2">
      <c r="A72" s="122"/>
      <c r="B72" s="123"/>
      <c r="C72" s="124"/>
      <c r="D72" s="123"/>
      <c r="E72" s="170"/>
      <c r="F72" s="172"/>
      <c r="G72" s="125"/>
      <c r="J72" s="64"/>
      <c r="K72" s="36">
        <f t="shared" si="43"/>
        <v>0</v>
      </c>
      <c r="L72" s="47">
        <f t="shared" si="44"/>
        <v>0</v>
      </c>
      <c r="M72" s="36">
        <f t="shared" si="45"/>
        <v>0</v>
      </c>
      <c r="N72" s="47">
        <f t="shared" si="46"/>
        <v>0</v>
      </c>
    </row>
    <row r="73" spans="1:14" s="63" customFormat="1" ht="14.25" x14ac:dyDescent="0.2">
      <c r="A73" s="122"/>
      <c r="B73" s="123"/>
      <c r="C73" s="124"/>
      <c r="D73" s="123"/>
      <c r="E73" s="170"/>
      <c r="F73" s="173"/>
      <c r="G73" s="125"/>
      <c r="J73" s="64"/>
      <c r="K73" s="36">
        <f t="shared" si="43"/>
        <v>0</v>
      </c>
      <c r="L73" s="47">
        <f t="shared" si="44"/>
        <v>0</v>
      </c>
      <c r="M73" s="36">
        <f t="shared" si="45"/>
        <v>0</v>
      </c>
      <c r="N73" s="47">
        <f t="shared" si="46"/>
        <v>0</v>
      </c>
    </row>
    <row r="74" spans="1:14" ht="12.75" customHeight="1" x14ac:dyDescent="0.2">
      <c r="A74" s="122">
        <f>Նախահաշիվ!A81</f>
        <v>16</v>
      </c>
      <c r="B74" s="123" t="str">
        <f>Նախահաշիվ!B81</f>
        <v>15--614</v>
      </c>
      <c r="C74" s="124" t="str">
        <f>Նախահաշիվ!C81</f>
        <v>Մետաղական խողովակների երկտակ յուղաներկում /1գմ=0,16մ2/ 
Двойная покраска масленная металлических труб /1гр=0,16м2/</v>
      </c>
      <c r="D74" s="123" t="str">
        <f>Նախահաշիվ!D81</f>
        <v>մ2/м2</v>
      </c>
      <c r="E74" s="170">
        <f>Նախահաշիվ!E81</f>
        <v>3.12</v>
      </c>
      <c r="F74" s="171">
        <f t="shared" ref="F74" si="47">N74</f>
        <v>1.301372167373487</v>
      </c>
      <c r="G74" s="125">
        <f t="shared" ref="G74" si="48">E74*F74</f>
        <v>4.0602811622052801</v>
      </c>
      <c r="J74" s="64">
        <v>1.0347814280618999</v>
      </c>
      <c r="K74" s="36">
        <f t="shared" si="43"/>
        <v>0.13762592993223269</v>
      </c>
      <c r="L74" s="47">
        <f t="shared" si="44"/>
        <v>1.1724073579941325</v>
      </c>
      <c r="M74" s="36">
        <f t="shared" si="45"/>
        <v>0.12896480937935459</v>
      </c>
      <c r="N74" s="47">
        <f t="shared" si="46"/>
        <v>1.301372167373487</v>
      </c>
    </row>
    <row r="75" spans="1:14" ht="14.25" x14ac:dyDescent="0.2">
      <c r="A75" s="122"/>
      <c r="B75" s="123"/>
      <c r="C75" s="124"/>
      <c r="D75" s="123"/>
      <c r="E75" s="170"/>
      <c r="F75" s="172"/>
      <c r="G75" s="125"/>
      <c r="J75" s="64"/>
      <c r="K75" s="36">
        <f t="shared" si="43"/>
        <v>0</v>
      </c>
      <c r="L75" s="47">
        <f t="shared" si="44"/>
        <v>0</v>
      </c>
      <c r="M75" s="36">
        <f t="shared" si="45"/>
        <v>0</v>
      </c>
      <c r="N75" s="47">
        <f t="shared" si="46"/>
        <v>0</v>
      </c>
    </row>
    <row r="76" spans="1:14" ht="14.25" x14ac:dyDescent="0.2">
      <c r="A76" s="122"/>
      <c r="B76" s="123"/>
      <c r="C76" s="124"/>
      <c r="D76" s="123"/>
      <c r="E76" s="170"/>
      <c r="F76" s="172"/>
      <c r="G76" s="125"/>
      <c r="J76" s="64"/>
      <c r="K76" s="36">
        <f t="shared" si="43"/>
        <v>0</v>
      </c>
      <c r="L76" s="47">
        <f t="shared" si="44"/>
        <v>0</v>
      </c>
      <c r="M76" s="36">
        <f t="shared" si="45"/>
        <v>0</v>
      </c>
      <c r="N76" s="47">
        <f t="shared" si="46"/>
        <v>0</v>
      </c>
    </row>
    <row r="77" spans="1:14" ht="32.25" customHeight="1" x14ac:dyDescent="0.2">
      <c r="A77" s="122"/>
      <c r="B77" s="123"/>
      <c r="C77" s="124"/>
      <c r="D77" s="123"/>
      <c r="E77" s="170"/>
      <c r="F77" s="173"/>
      <c r="G77" s="125"/>
      <c r="J77" s="64"/>
      <c r="K77" s="36">
        <f t="shared" si="43"/>
        <v>0</v>
      </c>
      <c r="L77" s="47">
        <f t="shared" si="44"/>
        <v>0</v>
      </c>
      <c r="M77" s="36">
        <f t="shared" si="45"/>
        <v>0</v>
      </c>
      <c r="N77" s="47">
        <f t="shared" si="46"/>
        <v>0</v>
      </c>
    </row>
    <row r="78" spans="1:14" x14ac:dyDescent="0.2">
      <c r="A78" s="168" t="s">
        <v>47</v>
      </c>
      <c r="B78" s="169"/>
      <c r="C78" s="169"/>
      <c r="D78" s="169"/>
      <c r="E78" s="169"/>
      <c r="F78" s="169"/>
      <c r="G78" s="62">
        <f>SUM(G13:G77)</f>
        <v>11616.793506801221</v>
      </c>
      <c r="K78" s="36">
        <f t="shared" ref="K78:K79" si="49">J78*13.3%</f>
        <v>0</v>
      </c>
      <c r="L78" s="47">
        <f t="shared" ref="L78:L79" si="50">J78+K78</f>
        <v>0</v>
      </c>
      <c r="M78" s="36">
        <f t="shared" ref="M78:M79" si="51">L78*11%</f>
        <v>0</v>
      </c>
      <c r="N78" s="47">
        <f t="shared" ref="N78:N79" si="52">SUM(L78:M78)</f>
        <v>0</v>
      </c>
    </row>
    <row r="79" spans="1:14" x14ac:dyDescent="0.2">
      <c r="A79" s="168" t="s">
        <v>115</v>
      </c>
      <c r="B79" s="169"/>
      <c r="C79" s="169"/>
      <c r="D79" s="169"/>
      <c r="E79" s="169"/>
      <c r="F79" s="169"/>
      <c r="G79" s="65">
        <f>G78/$G$81</f>
        <v>1</v>
      </c>
      <c r="I79" s="66"/>
      <c r="K79" s="36">
        <f t="shared" si="49"/>
        <v>0</v>
      </c>
      <c r="L79" s="47">
        <f t="shared" si="50"/>
        <v>0</v>
      </c>
      <c r="M79" s="36">
        <f t="shared" si="51"/>
        <v>0</v>
      </c>
      <c r="N79" s="47">
        <f t="shared" si="52"/>
        <v>0</v>
      </c>
    </row>
    <row r="80" spans="1:14" x14ac:dyDescent="0.2">
      <c r="I80" s="66"/>
    </row>
    <row r="81" spans="2:13" x14ac:dyDescent="0.2">
      <c r="C81" s="36" t="s">
        <v>21</v>
      </c>
      <c r="G81" s="46">
        <f>G78</f>
        <v>11616.793506801221</v>
      </c>
      <c r="I81" s="66"/>
    </row>
    <row r="82" spans="2:13" s="63" customFormat="1" ht="14.25" x14ac:dyDescent="0.2">
      <c r="B82" s="67"/>
      <c r="C82" s="68" t="s">
        <v>89</v>
      </c>
      <c r="D82" s="67"/>
      <c r="G82" s="69">
        <f>G81*20%</f>
        <v>2323.3587013602441</v>
      </c>
      <c r="J82" s="64"/>
    </row>
    <row r="83" spans="2:13" s="63" customFormat="1" ht="14.25" x14ac:dyDescent="0.2">
      <c r="B83" s="67"/>
      <c r="C83" s="68" t="s">
        <v>88</v>
      </c>
      <c r="D83" s="67"/>
      <c r="G83" s="70">
        <f>SUM(G81:G82)</f>
        <v>13940.152208161466</v>
      </c>
      <c r="H83" s="64"/>
      <c r="J83" s="64"/>
      <c r="M83" s="64"/>
    </row>
    <row r="87" spans="2:13" x14ac:dyDescent="0.2">
      <c r="C87" s="47"/>
    </row>
    <row r="88" spans="2:13" ht="15" x14ac:dyDescent="0.2">
      <c r="B88" s="167" t="s">
        <v>116</v>
      </c>
      <c r="C88" s="167"/>
      <c r="D88" s="167"/>
      <c r="E88" s="167"/>
      <c r="F88" s="167"/>
    </row>
    <row r="89" spans="2:13" x14ac:dyDescent="0.2">
      <c r="C89" s="47"/>
    </row>
  </sheetData>
  <mergeCells count="125">
    <mergeCell ref="F70:F73"/>
    <mergeCell ref="G70:G73"/>
    <mergeCell ref="A74:A77"/>
    <mergeCell ref="B74:B77"/>
    <mergeCell ref="C74:C77"/>
    <mergeCell ref="D74:D77"/>
    <mergeCell ref="E74:E77"/>
    <mergeCell ref="F74:F77"/>
    <mergeCell ref="G74:G77"/>
    <mergeCell ref="A70:A73"/>
    <mergeCell ref="B70:B73"/>
    <mergeCell ref="C70:C73"/>
    <mergeCell ref="D70:D73"/>
    <mergeCell ref="E70:E73"/>
    <mergeCell ref="C54:C57"/>
    <mergeCell ref="D54:D57"/>
    <mergeCell ref="E54:E57"/>
    <mergeCell ref="F54:F57"/>
    <mergeCell ref="F62:F65"/>
    <mergeCell ref="G62:G65"/>
    <mergeCell ref="A66:A69"/>
    <mergeCell ref="B66:B69"/>
    <mergeCell ref="C66:C69"/>
    <mergeCell ref="D66:D69"/>
    <mergeCell ref="E66:E69"/>
    <mergeCell ref="F66:F69"/>
    <mergeCell ref="G66:G69"/>
    <mergeCell ref="A62:A65"/>
    <mergeCell ref="B62:B65"/>
    <mergeCell ref="C62:C65"/>
    <mergeCell ref="D62:D65"/>
    <mergeCell ref="E62:E65"/>
    <mergeCell ref="G49:G52"/>
    <mergeCell ref="A78:F78"/>
    <mergeCell ref="A79:F79"/>
    <mergeCell ref="D41:D44"/>
    <mergeCell ref="E41:E44"/>
    <mergeCell ref="A49:A52"/>
    <mergeCell ref="B49:B52"/>
    <mergeCell ref="C49:C52"/>
    <mergeCell ref="D49:D52"/>
    <mergeCell ref="E49:E52"/>
    <mergeCell ref="F49:F52"/>
    <mergeCell ref="G45:G48"/>
    <mergeCell ref="A41:A44"/>
    <mergeCell ref="B41:B44"/>
    <mergeCell ref="A54:A57"/>
    <mergeCell ref="G54:G57"/>
    <mergeCell ref="A58:A61"/>
    <mergeCell ref="B58:B61"/>
    <mergeCell ref="C58:C61"/>
    <mergeCell ref="D58:D61"/>
    <mergeCell ref="E58:E61"/>
    <mergeCell ref="F58:F61"/>
    <mergeCell ref="G58:G61"/>
    <mergeCell ref="B54:B57"/>
    <mergeCell ref="E21:E24"/>
    <mergeCell ref="F21:F24"/>
    <mergeCell ref="G21:G24"/>
    <mergeCell ref="G25:G28"/>
    <mergeCell ref="G29:G32"/>
    <mergeCell ref="A33:A36"/>
    <mergeCell ref="B33:B36"/>
    <mergeCell ref="C33:C36"/>
    <mergeCell ref="D33:D36"/>
    <mergeCell ref="E33:E36"/>
    <mergeCell ref="F33:F36"/>
    <mergeCell ref="G33:G36"/>
    <mergeCell ref="F29:F32"/>
    <mergeCell ref="B29:B32"/>
    <mergeCell ref="C29:C32"/>
    <mergeCell ref="D29:D32"/>
    <mergeCell ref="E29:E32"/>
    <mergeCell ref="F17:F20"/>
    <mergeCell ref="D17:D20"/>
    <mergeCell ref="E17:E20"/>
    <mergeCell ref="G17:G20"/>
    <mergeCell ref="A29:A32"/>
    <mergeCell ref="B88:F88"/>
    <mergeCell ref="A37:A40"/>
    <mergeCell ref="B37:B40"/>
    <mergeCell ref="C37:C40"/>
    <mergeCell ref="D37:D40"/>
    <mergeCell ref="E37:E40"/>
    <mergeCell ref="F37:F40"/>
    <mergeCell ref="F41:F44"/>
    <mergeCell ref="F45:F48"/>
    <mergeCell ref="A45:A48"/>
    <mergeCell ref="B45:B48"/>
    <mergeCell ref="D25:D28"/>
    <mergeCell ref="E25:E28"/>
    <mergeCell ref="F25:F28"/>
    <mergeCell ref="G37:G40"/>
    <mergeCell ref="G41:G44"/>
    <mergeCell ref="D45:D48"/>
    <mergeCell ref="E45:E48"/>
    <mergeCell ref="D21:D24"/>
    <mergeCell ref="A17:A20"/>
    <mergeCell ref="C45:C48"/>
    <mergeCell ref="C41:C44"/>
    <mergeCell ref="A21:A24"/>
    <mergeCell ref="B21:B24"/>
    <mergeCell ref="C21:C24"/>
    <mergeCell ref="B17:B20"/>
    <mergeCell ref="C17:C20"/>
    <mergeCell ref="A25:A28"/>
    <mergeCell ref="B25:B28"/>
    <mergeCell ref="C25:C28"/>
    <mergeCell ref="A1:G2"/>
    <mergeCell ref="A3:G4"/>
    <mergeCell ref="G13:G16"/>
    <mergeCell ref="A11:G11"/>
    <mergeCell ref="A13:A16"/>
    <mergeCell ref="B13:B16"/>
    <mergeCell ref="G6:G8"/>
    <mergeCell ref="D6:D9"/>
    <mergeCell ref="E6:E9"/>
    <mergeCell ref="F6:F9"/>
    <mergeCell ref="D13:D16"/>
    <mergeCell ref="E13:E16"/>
    <mergeCell ref="F13:F16"/>
    <mergeCell ref="A6:A9"/>
    <mergeCell ref="B6:B9"/>
    <mergeCell ref="C6:C9"/>
    <mergeCell ref="C13:C16"/>
  </mergeCells>
  <pageMargins left="1.299212598425197" right="0.70866141732283472" top="0.74803149606299213" bottom="0.74803149606299213" header="0.31496062992125984" footer="0.31496062992125984"/>
  <pageSetup paperSize="9" scale="80" fitToHeight="8" orientation="portrait" r:id="rId1"/>
  <rowBreaks count="1" manualBreakCount="1">
    <brk id="52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Տվյալներ</vt:lpstr>
      <vt:lpstr>Բովանդակություն</vt:lpstr>
      <vt:lpstr>Բացատրագիր</vt:lpstr>
      <vt:lpstr>Ամփոփ նախահաշիվ</vt:lpstr>
      <vt:lpstr>Նախահաշիվ</vt:lpstr>
      <vt:lpstr>Ծավ նախ</vt:lpstr>
      <vt:lpstr>Բացատրագիր!Область_печати</vt:lpstr>
      <vt:lpstr>Բովանդակություն!Область_печати</vt:lpstr>
      <vt:lpstr>'Ծավ նախ'!Область_печати</vt:lpstr>
      <vt:lpstr>Նախահաշիվ!Область_печати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Work</cp:lastModifiedBy>
  <cp:lastPrinted>2025-03-13T12:07:07Z</cp:lastPrinted>
  <dcterms:created xsi:type="dcterms:W3CDTF">2021-03-27T08:19:32Z</dcterms:created>
  <dcterms:modified xsi:type="dcterms:W3CDTF">2025-03-13T12:07:22Z</dcterms:modified>
</cp:coreProperties>
</file>